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onvld.b/Downloads/"/>
    </mc:Choice>
  </mc:AlternateContent>
  <xr:revisionPtr revIDLastSave="0" documentId="13_ncr:1_{44EC75E3-6523-774D-8D4F-0C1268105479}" xr6:coauthVersionLast="47" xr6:coauthVersionMax="47" xr10:uidLastSave="{00000000-0000-0000-0000-000000000000}"/>
  <bookViews>
    <workbookView xWindow="1760" yWindow="2200" windowWidth="24860" windowHeight="14500" xr2:uid="{25478560-5D36-164F-8858-D7C8C2E1A865}"/>
  </bookViews>
  <sheets>
    <sheet name="Balance sheet" sheetId="1" r:id="rId1"/>
    <sheet name="Income statement" sheetId="3" r:id="rId2"/>
    <sheet name="Cash Flow statement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3" l="1"/>
  <c r="E5" i="2"/>
  <c r="E4" i="2"/>
  <c r="B32" i="1"/>
  <c r="B33" i="1"/>
  <c r="C33" i="1"/>
  <c r="C32" i="1"/>
  <c r="B23" i="2"/>
  <c r="J18" i="2"/>
  <c r="I18" i="2"/>
  <c r="J15" i="2"/>
  <c r="J14" i="2"/>
  <c r="I15" i="2"/>
  <c r="I14" i="2"/>
  <c r="J11" i="2"/>
  <c r="I11" i="2"/>
  <c r="B11" i="2"/>
  <c r="B30" i="2" s="1"/>
  <c r="C11" i="2"/>
  <c r="E11" i="2" l="1"/>
  <c r="C30" i="2"/>
  <c r="J12" i="2"/>
  <c r="I12" i="2"/>
  <c r="J17" i="1"/>
  <c r="L17" i="1" s="1"/>
  <c r="J14" i="1"/>
  <c r="I4" i="3"/>
  <c r="J19" i="1"/>
  <c r="I14" i="1"/>
  <c r="I9" i="2" s="1"/>
  <c r="I16" i="1"/>
  <c r="C23" i="1"/>
  <c r="C30" i="1" s="1"/>
  <c r="C19" i="1"/>
  <c r="C7" i="1"/>
  <c r="C10" i="1"/>
  <c r="B23" i="1"/>
  <c r="B16" i="1"/>
  <c r="B19" i="1" s="1"/>
  <c r="B7" i="1"/>
  <c r="I17" i="1"/>
  <c r="J16" i="1"/>
  <c r="J13" i="1"/>
  <c r="J12" i="1"/>
  <c r="J10" i="1"/>
  <c r="J9" i="1"/>
  <c r="J8" i="1"/>
  <c r="J6" i="1"/>
  <c r="J5" i="1"/>
  <c r="J4" i="1"/>
  <c r="C12" i="1" l="1"/>
  <c r="C37" i="1" s="1"/>
  <c r="J9" i="2"/>
  <c r="J15" i="1"/>
  <c r="J18" i="1" s="1"/>
  <c r="J20" i="1" s="1"/>
  <c r="L12" i="2"/>
  <c r="B29" i="2"/>
  <c r="B30" i="1"/>
  <c r="C29" i="1"/>
  <c r="C29" i="2"/>
  <c r="J16" i="2"/>
  <c r="B25" i="1"/>
  <c r="C25" i="1"/>
  <c r="I19" i="1"/>
  <c r="J7" i="1"/>
  <c r="J30" i="1" l="1"/>
  <c r="J11" i="1"/>
  <c r="J37" i="1" s="1"/>
  <c r="J29" i="1"/>
  <c r="L14" i="1"/>
  <c r="J17" i="3" l="1"/>
  <c r="J15" i="3"/>
  <c r="J14" i="3"/>
  <c r="J12" i="3"/>
  <c r="J5" i="2" s="1"/>
  <c r="J10" i="3"/>
  <c r="J8" i="3"/>
  <c r="J7" i="3"/>
  <c r="J5" i="3"/>
  <c r="J4" i="3"/>
  <c r="I15" i="3"/>
  <c r="I17" i="3"/>
  <c r="I14" i="3"/>
  <c r="I12" i="3"/>
  <c r="I5" i="2" s="1"/>
  <c r="I10" i="3"/>
  <c r="I8" i="3"/>
  <c r="I7" i="3"/>
  <c r="I5" i="3"/>
  <c r="I6" i="3" s="1"/>
  <c r="L17" i="3" l="1"/>
  <c r="L7" i="3"/>
  <c r="J6" i="3"/>
  <c r="J9" i="3" s="1"/>
  <c r="J21" i="3" s="1"/>
  <c r="L8" i="3"/>
  <c r="L10" i="3"/>
  <c r="L14" i="3"/>
  <c r="L5" i="3"/>
  <c r="L12" i="3"/>
  <c r="I9" i="3"/>
  <c r="J33" i="1"/>
  <c r="J32" i="1"/>
  <c r="L4" i="3"/>
  <c r="I13" i="1"/>
  <c r="L13" i="1" s="1"/>
  <c r="I12" i="1"/>
  <c r="I10" i="1"/>
  <c r="L10" i="1" s="1"/>
  <c r="I9" i="1"/>
  <c r="L9" i="1" s="1"/>
  <c r="I8" i="1"/>
  <c r="I6" i="1"/>
  <c r="I5" i="1"/>
  <c r="I4" i="1"/>
  <c r="E17" i="3"/>
  <c r="E14" i="3"/>
  <c r="E12" i="3"/>
  <c r="E10" i="3"/>
  <c r="E7" i="3"/>
  <c r="E5" i="3"/>
  <c r="E4" i="3"/>
  <c r="I11" i="3" l="1"/>
  <c r="I13" i="3" s="1"/>
  <c r="I16" i="3" s="1"/>
  <c r="I18" i="3" s="1"/>
  <c r="I4" i="2" s="1"/>
  <c r="I21" i="3"/>
  <c r="J31" i="1"/>
  <c r="L6" i="3"/>
  <c r="L21" i="3"/>
  <c r="I32" i="1"/>
  <c r="L32" i="1" s="1"/>
  <c r="I6" i="2"/>
  <c r="J6" i="2"/>
  <c r="I15" i="1"/>
  <c r="I30" i="1" s="1"/>
  <c r="L30" i="1" s="1"/>
  <c r="I8" i="2"/>
  <c r="I33" i="1"/>
  <c r="L33" i="1" s="1"/>
  <c r="J8" i="2"/>
  <c r="I31" i="1"/>
  <c r="J7" i="2"/>
  <c r="I7" i="2"/>
  <c r="J11" i="3"/>
  <c r="L9" i="3"/>
  <c r="I7" i="1"/>
  <c r="L16" i="1"/>
  <c r="I16" i="2"/>
  <c r="L16" i="2" s="1"/>
  <c r="L8" i="1"/>
  <c r="L19" i="1"/>
  <c r="L12" i="1"/>
  <c r="L4" i="1"/>
  <c r="L5" i="1"/>
  <c r="L6" i="1"/>
  <c r="B17" i="2"/>
  <c r="B25" i="2" s="1"/>
  <c r="B26" i="2" s="1"/>
  <c r="C23" i="2"/>
  <c r="E23" i="2" s="1"/>
  <c r="C17" i="2"/>
  <c r="J34" i="1" l="1"/>
  <c r="L31" i="1"/>
  <c r="I23" i="3"/>
  <c r="E17" i="2"/>
  <c r="C25" i="2"/>
  <c r="E25" i="2" s="1"/>
  <c r="I19" i="2"/>
  <c r="I20" i="2" s="1"/>
  <c r="I34" i="1"/>
  <c r="I10" i="2"/>
  <c r="I17" i="2" s="1"/>
  <c r="I18" i="1"/>
  <c r="I11" i="1"/>
  <c r="I22" i="3" s="1"/>
  <c r="I29" i="1"/>
  <c r="L29" i="1" s="1"/>
  <c r="J13" i="3"/>
  <c r="L11" i="3"/>
  <c r="L15" i="1"/>
  <c r="L7" i="1"/>
  <c r="E30" i="2"/>
  <c r="B6" i="3"/>
  <c r="C6" i="3"/>
  <c r="E33" i="1"/>
  <c r="E32" i="1"/>
  <c r="E24" i="1"/>
  <c r="E22" i="1"/>
  <c r="E21" i="1"/>
  <c r="E20" i="1"/>
  <c r="E18" i="1"/>
  <c r="E17" i="1"/>
  <c r="E16" i="1"/>
  <c r="E14" i="1"/>
  <c r="E13" i="1"/>
  <c r="E11" i="1"/>
  <c r="E9" i="1"/>
  <c r="E8" i="1"/>
  <c r="E6" i="1"/>
  <c r="E5" i="1"/>
  <c r="E4" i="1"/>
  <c r="L34" i="1" l="1"/>
  <c r="J19" i="2"/>
  <c r="C26" i="2"/>
  <c r="I31" i="2"/>
  <c r="I30" i="2"/>
  <c r="I32" i="2"/>
  <c r="I29" i="2"/>
  <c r="I37" i="1"/>
  <c r="L37" i="1" s="1"/>
  <c r="J16" i="3"/>
  <c r="L13" i="3"/>
  <c r="B31" i="1"/>
  <c r="B34" i="1" s="1"/>
  <c r="B31" i="2"/>
  <c r="C31" i="1"/>
  <c r="C31" i="2"/>
  <c r="L11" i="1"/>
  <c r="I20" i="1"/>
  <c r="L18" i="1"/>
  <c r="C9" i="3"/>
  <c r="C21" i="3" s="1"/>
  <c r="E6" i="3"/>
  <c r="B9" i="3"/>
  <c r="B11" i="3" s="1"/>
  <c r="B13" i="3" s="1"/>
  <c r="B15" i="3" s="1"/>
  <c r="B18" i="3" s="1"/>
  <c r="J20" i="2" l="1"/>
  <c r="C34" i="1"/>
  <c r="E34" i="1" s="1"/>
  <c r="E31" i="1"/>
  <c r="J18" i="3"/>
  <c r="L16" i="3"/>
  <c r="B23" i="3"/>
  <c r="B32" i="2"/>
  <c r="L20" i="1"/>
  <c r="B21" i="3"/>
  <c r="E21" i="3" s="1"/>
  <c r="E31" i="2"/>
  <c r="C11" i="3"/>
  <c r="E9" i="3"/>
  <c r="J4" i="2" l="1"/>
  <c r="L18" i="3"/>
  <c r="J23" i="3"/>
  <c r="L23" i="3" s="1"/>
  <c r="J22" i="3"/>
  <c r="L22" i="3" s="1"/>
  <c r="C13" i="3"/>
  <c r="E11" i="3"/>
  <c r="J10" i="2" l="1"/>
  <c r="L10" i="2" s="1"/>
  <c r="L4" i="2"/>
  <c r="C15" i="3"/>
  <c r="E13" i="3"/>
  <c r="J17" i="2" l="1"/>
  <c r="L17" i="2" s="1"/>
  <c r="J29" i="2"/>
  <c r="L29" i="2" s="1"/>
  <c r="J32" i="2"/>
  <c r="L32" i="2" s="1"/>
  <c r="J30" i="2"/>
  <c r="L30" i="2" s="1"/>
  <c r="J31" i="2"/>
  <c r="L31" i="2" s="1"/>
  <c r="C18" i="3"/>
  <c r="E15" i="3"/>
  <c r="C23" i="3" l="1"/>
  <c r="E23" i="3" s="1"/>
  <c r="C22" i="3"/>
  <c r="C32" i="2"/>
  <c r="E32" i="2" s="1"/>
  <c r="E18" i="3"/>
  <c r="B10" i="1" l="1"/>
  <c r="E7" i="1"/>
  <c r="B12" i="1" l="1"/>
  <c r="B37" i="1" s="1"/>
  <c r="B29" i="1"/>
  <c r="E23" i="1"/>
  <c r="E19" i="1"/>
  <c r="E10" i="1"/>
  <c r="B22" i="3" l="1"/>
  <c r="E22" i="3" s="1"/>
  <c r="E30" i="1"/>
  <c r="E12" i="1"/>
  <c r="E29" i="1"/>
  <c r="E29" i="2"/>
  <c r="E25" i="1"/>
  <c r="E37" i="1" l="1"/>
</calcChain>
</file>

<file path=xl/sharedStrings.xml><?xml version="1.0" encoding="utf-8"?>
<sst xmlns="http://schemas.openxmlformats.org/spreadsheetml/2006/main" count="162" uniqueCount="144">
  <si>
    <t>Immobilisations incorporelles</t>
  </si>
  <si>
    <t>Capital, primes et réserves</t>
  </si>
  <si>
    <t>Immobilisations corporelles</t>
  </si>
  <si>
    <t>Immobilisations financières</t>
  </si>
  <si>
    <t>Stocks</t>
  </si>
  <si>
    <t>Créances et emplois assimilés</t>
  </si>
  <si>
    <t>Clients, avances reçues</t>
  </si>
  <si>
    <t>Trésorerie - Actif</t>
  </si>
  <si>
    <t>Total Actif</t>
  </si>
  <si>
    <t>Total Passif</t>
  </si>
  <si>
    <t>Capacité d'Autofinancement Global (CAFG)</t>
  </si>
  <si>
    <t>Flux de trésorerie provenant des activités opérationnelles</t>
  </si>
  <si>
    <t>Décaissements liés aux acquisitions d'immobilisations incorporelles</t>
  </si>
  <si>
    <t>Décaissements liés aux acquisitions d'immobilisations corporelles</t>
  </si>
  <si>
    <t>Décaissements liés aux acquisitions d'immobilisations financières</t>
  </si>
  <si>
    <t>Encaissements liés aux cessions d'immobilisations incorporelles et corporelles</t>
  </si>
  <si>
    <t>Encaissements liés aux cessions d'immobilisations financières</t>
  </si>
  <si>
    <t>Flux de trésorerie provenant des activités d'investissements</t>
  </si>
  <si>
    <t>Dividendes versés</t>
  </si>
  <si>
    <t>Flux de trésorerie provenant du financement par les capitaux propres</t>
  </si>
  <si>
    <t>Remboursements des emprunts et autres dettes financières</t>
  </si>
  <si>
    <t>Flux de trésorerie provenant du financement par les capitaux étrangers</t>
  </si>
  <si>
    <t>Flux de trésorerie provenant des activités de financement</t>
  </si>
  <si>
    <t>Balance sheet</t>
  </si>
  <si>
    <t>Actif immobilisé</t>
  </si>
  <si>
    <t>Actif circulant</t>
  </si>
  <si>
    <t>Résultat net de l'exercice</t>
  </si>
  <si>
    <t>Autres capitaux propres</t>
  </si>
  <si>
    <t>Emprunts à LT</t>
  </si>
  <si>
    <t>Provisions financières pour provisions et charges</t>
  </si>
  <si>
    <t>Fournisseurs d'exploitation</t>
  </si>
  <si>
    <t>Dettes fiscales et sociales et autres dettes</t>
  </si>
  <si>
    <t>Passif circulant</t>
  </si>
  <si>
    <t>Trésorerie - Passif</t>
  </si>
  <si>
    <t>Financement permanent</t>
  </si>
  <si>
    <t>Capitaux propres</t>
  </si>
  <si>
    <t>DSO</t>
  </si>
  <si>
    <t>DPO</t>
  </si>
  <si>
    <t>DIO</t>
  </si>
  <si>
    <t>Net trading cycle</t>
  </si>
  <si>
    <t>Cycle commercial net</t>
  </si>
  <si>
    <t>Compte de résultat</t>
  </si>
  <si>
    <t>Bilan</t>
  </si>
  <si>
    <t>Chiffre d'affaires</t>
  </si>
  <si>
    <t>Achats de marchandises et variation de stocks</t>
  </si>
  <si>
    <t>Charges de Personnel</t>
  </si>
  <si>
    <t>Excédent brut d'exploitation</t>
  </si>
  <si>
    <t>Dotations aux amortissements et aux provisions nettes</t>
  </si>
  <si>
    <t>Résultat d'exploitation</t>
  </si>
  <si>
    <t>Résultat financier</t>
  </si>
  <si>
    <t>Résultat des activités ordinaires</t>
  </si>
  <si>
    <t>Résultat hors activités ordinaires</t>
  </si>
  <si>
    <t>Impôts sur le résultat</t>
  </si>
  <si>
    <t>Autres achats et charges externes</t>
  </si>
  <si>
    <t>(En millions de FCFA)</t>
  </si>
  <si>
    <t>KPIs</t>
  </si>
  <si>
    <t>% Δ 2025</t>
  </si>
  <si>
    <t>Résultat net</t>
  </si>
  <si>
    <t>Autres produits</t>
  </si>
  <si>
    <t>Valeur ajoutée</t>
  </si>
  <si>
    <t>Ratios de solvabilité</t>
  </si>
  <si>
    <t>Ratios de liquidité</t>
  </si>
  <si>
    <t>Ratio d'indépendance financière</t>
  </si>
  <si>
    <t>Ratio de liquidité générale</t>
  </si>
  <si>
    <t>(En millions FCFA)</t>
  </si>
  <si>
    <t>Chiffre d'affaires total</t>
  </si>
  <si>
    <t>ROA</t>
  </si>
  <si>
    <t>ROE</t>
  </si>
  <si>
    <t>Marge Brute %</t>
  </si>
  <si>
    <t>Ratio de liquidité réduite</t>
  </si>
  <si>
    <r>
      <t xml:space="preserve">% </t>
    </r>
    <r>
      <rPr>
        <b/>
        <sz val="11"/>
        <color rgb="FF002060"/>
        <rFont val="Calibri"/>
        <family val="2"/>
      </rPr>
      <t>Δ</t>
    </r>
    <r>
      <rPr>
        <b/>
        <sz val="11"/>
        <color rgb="FF002060"/>
        <rFont val="Arial"/>
        <family val="2"/>
      </rPr>
      <t xml:space="preserve"> 2025</t>
    </r>
  </si>
  <si>
    <t>Flux de trésorerie</t>
  </si>
  <si>
    <t>Variation des stocks</t>
  </si>
  <si>
    <t>Variation des créances</t>
  </si>
  <si>
    <t>Variation du BF lié aux activités opérationnelles</t>
  </si>
  <si>
    <t>Autres dettes financières</t>
  </si>
  <si>
    <t>Variation de la trésorerie nette de la période</t>
  </si>
  <si>
    <t>Ratio de flux de trésorerie opérationnelle</t>
  </si>
  <si>
    <t>Ratio de couverture du service de la dette</t>
  </si>
  <si>
    <t>Ratio de marge du flux de trésorerie</t>
  </si>
  <si>
    <t>Earnings quality ratio</t>
  </si>
  <si>
    <t xml:space="preserve">Variation du passif circulant </t>
  </si>
  <si>
    <t>Trésorerie au 01  Janvier</t>
  </si>
  <si>
    <t>Trésorerie nette au 31 Décembre</t>
  </si>
  <si>
    <t>(In millions XOF)</t>
  </si>
  <si>
    <t>(En millions XOF)</t>
  </si>
  <si>
    <t>Cash</t>
  </si>
  <si>
    <t>Total current liabilities</t>
  </si>
  <si>
    <t>Total assets</t>
  </si>
  <si>
    <t>Inventory</t>
  </si>
  <si>
    <t>PP&amp;E</t>
  </si>
  <si>
    <t>Total current asset</t>
  </si>
  <si>
    <t>Accounts payable</t>
  </si>
  <si>
    <t>Deferred revenue</t>
  </si>
  <si>
    <t>Intangible assets</t>
  </si>
  <si>
    <t>Total liabilities</t>
  </si>
  <si>
    <t>Total liabilities &amp; Equity</t>
  </si>
  <si>
    <t>Ratio of liquidity</t>
  </si>
  <si>
    <t>Quick ratio</t>
  </si>
  <si>
    <t>Current ratio</t>
  </si>
  <si>
    <t>Ratio of solvency</t>
  </si>
  <si>
    <t>Debt ratio</t>
  </si>
  <si>
    <t>Revenue</t>
  </si>
  <si>
    <t>Other revenue</t>
  </si>
  <si>
    <t>Total revenue</t>
  </si>
  <si>
    <t>Cost of goods sold</t>
  </si>
  <si>
    <t>Other costs</t>
  </si>
  <si>
    <t>Gross profit</t>
  </si>
  <si>
    <t>Other current liabilities</t>
  </si>
  <si>
    <t>EBITDA</t>
  </si>
  <si>
    <t>D&amp;A</t>
  </si>
  <si>
    <t>EBIT</t>
  </si>
  <si>
    <t>EBT</t>
  </si>
  <si>
    <t>Net income taxes</t>
  </si>
  <si>
    <t>Net income</t>
  </si>
  <si>
    <t>Selling, General and Administrative expenses</t>
  </si>
  <si>
    <t>GP%</t>
  </si>
  <si>
    <t>Accounts receivable</t>
  </si>
  <si>
    <t>Changes in Inventory</t>
  </si>
  <si>
    <t>Changes in Accounts receivable</t>
  </si>
  <si>
    <t>Changes in Accounts payable</t>
  </si>
  <si>
    <t>Cash flow from operating activities</t>
  </si>
  <si>
    <t>CAPEX</t>
  </si>
  <si>
    <t>Cash flow from investing activities</t>
  </si>
  <si>
    <t>Cash flow from financing activities</t>
  </si>
  <si>
    <t>Cash at the end of period</t>
  </si>
  <si>
    <t>Cash at the beginning of period</t>
  </si>
  <si>
    <t>Net cash flow</t>
  </si>
  <si>
    <t xml:space="preserve">Net change in Cash </t>
  </si>
  <si>
    <t>Other non current assets</t>
  </si>
  <si>
    <t xml:space="preserve">Long-term debt </t>
  </si>
  <si>
    <t>Total Equity</t>
  </si>
  <si>
    <t>Changes in other current liabilities</t>
  </si>
  <si>
    <t>Other non current liabilities</t>
  </si>
  <si>
    <t xml:space="preserve">Net income </t>
  </si>
  <si>
    <t>Result from non operating income</t>
  </si>
  <si>
    <t>Financial result</t>
  </si>
  <si>
    <t>Borrowings</t>
  </si>
  <si>
    <t>Changes in Equity and dividends</t>
  </si>
  <si>
    <t>Cash Flow statement</t>
  </si>
  <si>
    <t>Income statement (P&amp;L)</t>
  </si>
  <si>
    <t>Operating cash flow</t>
  </si>
  <si>
    <t>Cash flow to debt ratio</t>
  </si>
  <si>
    <t>Cash flow mergin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</si>
</sst>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11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rgb="FF002060"/>
      <name val="Arial"/>
      <family val="2"/>
    </font>
    <font>
      <b/>
      <sz val="12"/>
      <color rgb="FF002060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2060"/>
      <name val="Calibri"/>
      <family val="2"/>
    </font>
    <font>
      <sz val="11"/>
      <color rgb="FF002060"/>
      <name val="Arial"/>
      <family val="2"/>
    </font>
    <font>
      <sz val="12"/>
      <color rgb="FF00206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2060"/>
      </bottom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/>
      <top/>
      <bottom style="thin">
        <color rgb="FF002060"/>
      </bottom>
      <diagonal/>
    </border>
    <border>
      <left/>
      <right/>
      <top/>
      <bottom style="thin">
        <color rgb="FF002060"/>
      </bottom>
      <diagonal/>
    </border>
    <border>
      <left/>
      <right/>
      <top style="thin">
        <color rgb="FF002060"/>
      </top>
      <bottom style="medium">
        <color rgb="FF002060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3">
    <xf numFmtId="0" fontId="0" fillId="0" borderId="0" xfId="0"/>
    <xf numFmtId="41" fontId="2" fillId="0" borderId="0" xfId="1" applyFont="1"/>
    <xf numFmtId="41" fontId="3" fillId="0" borderId="0" xfId="1" applyFont="1"/>
    <xf numFmtId="41" fontId="4" fillId="0" borderId="0" xfId="1" applyFont="1"/>
    <xf numFmtId="41" fontId="5" fillId="0" borderId="0" xfId="1" applyFont="1"/>
    <xf numFmtId="41" fontId="5" fillId="0" borderId="2" xfId="1" applyFont="1" applyBorder="1"/>
    <xf numFmtId="41" fontId="2" fillId="0" borderId="5" xfId="1" applyFont="1" applyBorder="1"/>
    <xf numFmtId="41" fontId="6" fillId="0" borderId="0" xfId="1" applyFont="1"/>
    <xf numFmtId="41" fontId="4" fillId="0" borderId="2" xfId="1" applyFont="1" applyBorder="1"/>
    <xf numFmtId="41" fontId="3" fillId="0" borderId="5" xfId="1" applyFont="1" applyBorder="1"/>
    <xf numFmtId="41" fontId="7" fillId="0" borderId="0" xfId="1" applyFont="1"/>
    <xf numFmtId="9" fontId="3" fillId="2" borderId="0" xfId="2" applyFont="1" applyFill="1"/>
    <xf numFmtId="41" fontId="3" fillId="2" borderId="0" xfId="1" applyFont="1" applyFill="1"/>
    <xf numFmtId="41" fontId="7" fillId="2" borderId="0" xfId="1" applyFont="1" applyFill="1"/>
    <xf numFmtId="10" fontId="3" fillId="2" borderId="0" xfId="2" applyNumberFormat="1" applyFont="1" applyFill="1"/>
    <xf numFmtId="41" fontId="4" fillId="3" borderId="2" xfId="1" applyFont="1" applyFill="1" applyBorder="1" applyAlignment="1">
      <alignment horizontal="center" wrapText="1"/>
    </xf>
    <xf numFmtId="41" fontId="3" fillId="0" borderId="0" xfId="1" applyFont="1" applyBorder="1"/>
    <xf numFmtId="41" fontId="4" fillId="0" borderId="1" xfId="1" applyFont="1" applyBorder="1"/>
    <xf numFmtId="41" fontId="4" fillId="0" borderId="0" xfId="1" applyFont="1" applyBorder="1"/>
    <xf numFmtId="0" fontId="4" fillId="3" borderId="2" xfId="0" applyFont="1" applyFill="1" applyBorder="1" applyAlignment="1">
      <alignment horizontal="center" wrapText="1"/>
    </xf>
    <xf numFmtId="41" fontId="9" fillId="0" borderId="0" xfId="1" applyFont="1" applyBorder="1"/>
    <xf numFmtId="10" fontId="3" fillId="0" borderId="0" xfId="1" applyNumberFormat="1" applyFont="1"/>
    <xf numFmtId="41" fontId="7" fillId="0" borderId="0" xfId="1" applyFont="1" applyBorder="1"/>
    <xf numFmtId="10" fontId="7" fillId="0" borderId="0" xfId="1" applyNumberFormat="1" applyFont="1"/>
    <xf numFmtId="41" fontId="7" fillId="0" borderId="4" xfId="1" applyFont="1" applyBorder="1"/>
    <xf numFmtId="41" fontId="7" fillId="0" borderId="5" xfId="1" applyFont="1" applyBorder="1"/>
    <xf numFmtId="41" fontId="4" fillId="0" borderId="1" xfId="1" applyFont="1" applyFill="1" applyBorder="1"/>
    <xf numFmtId="41" fontId="4" fillId="0" borderId="0" xfId="1" applyFont="1" applyFill="1" applyBorder="1"/>
    <xf numFmtId="10" fontId="4" fillId="0" borderId="0" xfId="1" applyNumberFormat="1" applyFont="1"/>
    <xf numFmtId="41" fontId="3" fillId="2" borderId="0" xfId="1" applyFont="1" applyFill="1" applyBorder="1"/>
    <xf numFmtId="10" fontId="3" fillId="2" borderId="0" xfId="2" applyNumberFormat="1" applyFont="1" applyFill="1" applyBorder="1"/>
    <xf numFmtId="10" fontId="3" fillId="2" borderId="0" xfId="1" applyNumberFormat="1" applyFont="1" applyFill="1"/>
    <xf numFmtId="10" fontId="3" fillId="0" borderId="0" xfId="2" applyNumberFormat="1" applyFont="1"/>
    <xf numFmtId="10" fontId="7" fillId="0" borderId="0" xfId="2" applyNumberFormat="1" applyFont="1"/>
    <xf numFmtId="10" fontId="4" fillId="0" borderId="0" xfId="2" applyNumberFormat="1" applyFont="1"/>
    <xf numFmtId="1" fontId="3" fillId="2" borderId="0" xfId="1" applyNumberFormat="1" applyFont="1" applyFill="1"/>
    <xf numFmtId="2" fontId="3" fillId="2" borderId="0" xfId="1" applyNumberFormat="1" applyFont="1" applyFill="1"/>
    <xf numFmtId="2" fontId="3" fillId="2" borderId="0" xfId="1" applyNumberFormat="1" applyFont="1" applyFill="1" applyBorder="1"/>
    <xf numFmtId="41" fontId="4" fillId="3" borderId="0" xfId="1" applyFont="1" applyFill="1" applyBorder="1" applyAlignment="1">
      <alignment horizontal="center" wrapText="1"/>
    </xf>
    <xf numFmtId="10" fontId="3" fillId="0" borderId="0" xfId="2" applyNumberFormat="1" applyFont="1" applyBorder="1"/>
    <xf numFmtId="10" fontId="7" fillId="0" borderId="0" xfId="2" applyNumberFormat="1" applyFont="1" applyBorder="1"/>
    <xf numFmtId="10" fontId="4" fillId="0" borderId="0" xfId="2" applyNumberFormat="1" applyFont="1" applyBorder="1"/>
    <xf numFmtId="41" fontId="4" fillId="3" borderId="2" xfId="1" applyFont="1" applyFill="1" applyBorder="1" applyAlignment="1">
      <alignment horizontal="left" wrapText="1"/>
    </xf>
    <xf numFmtId="41" fontId="4" fillId="0" borderId="1" xfId="1" applyFont="1" applyBorder="1" applyAlignment="1">
      <alignment horizontal="left"/>
    </xf>
    <xf numFmtId="41" fontId="5" fillId="3" borderId="2" xfId="1" applyFont="1" applyFill="1" applyBorder="1" applyAlignment="1">
      <alignment horizontal="center" wrapText="1"/>
    </xf>
    <xf numFmtId="10" fontId="2" fillId="0" borderId="0" xfId="2" applyNumberFormat="1" applyFont="1"/>
    <xf numFmtId="10" fontId="6" fillId="0" borderId="0" xfId="2" applyNumberFormat="1" applyFont="1"/>
    <xf numFmtId="41" fontId="2" fillId="0" borderId="0" xfId="1" applyFont="1" applyBorder="1"/>
    <xf numFmtId="41" fontId="6" fillId="0" borderId="0" xfId="1" applyFont="1" applyBorder="1"/>
    <xf numFmtId="41" fontId="2" fillId="0" borderId="3" xfId="1" applyFont="1" applyBorder="1"/>
    <xf numFmtId="41" fontId="6" fillId="0" borderId="5" xfId="1" applyFont="1" applyBorder="1"/>
    <xf numFmtId="41" fontId="5" fillId="0" borderId="6" xfId="1" applyFont="1" applyBorder="1"/>
    <xf numFmtId="10" fontId="5" fillId="0" borderId="0" xfId="2" applyNumberFormat="1" applyFont="1"/>
    <xf numFmtId="41" fontId="5" fillId="0" borderId="0" xfId="1" applyFont="1" applyBorder="1"/>
    <xf numFmtId="41" fontId="6" fillId="2" borderId="0" xfId="1" applyFont="1" applyFill="1"/>
    <xf numFmtId="41" fontId="2" fillId="2" borderId="0" xfId="1" applyFont="1" applyFill="1"/>
    <xf numFmtId="10" fontId="2" fillId="2" borderId="0" xfId="2" applyNumberFormat="1" applyFont="1" applyFill="1"/>
    <xf numFmtId="41" fontId="2" fillId="3" borderId="0" xfId="1" applyFont="1" applyFill="1"/>
    <xf numFmtId="37" fontId="3" fillId="2" borderId="0" xfId="2" applyNumberFormat="1" applyFont="1" applyFill="1"/>
    <xf numFmtId="37" fontId="3" fillId="2" borderId="0" xfId="2" applyNumberFormat="1" applyFont="1" applyFill="1" applyBorder="1"/>
    <xf numFmtId="41" fontId="6" fillId="0" borderId="7" xfId="1" applyFont="1" applyBorder="1"/>
    <xf numFmtId="41" fontId="5" fillId="0" borderId="5" xfId="1" applyFont="1" applyBorder="1"/>
    <xf numFmtId="41" fontId="10" fillId="0" borderId="0" xfId="1" applyFont="1"/>
  </cellXfs>
  <cellStyles count="3">
    <cellStyle name="Comma [0]" xfId="1" builtinId="6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115434</xdr:colOff>
      <xdr:row>12</xdr:row>
      <xdr:rowOff>177799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DB48ECE4-1BCF-AC67-EF12-6DCD93E1D1A7}"/>
            </a:ext>
          </a:extLst>
        </xdr:cNvPr>
        <xdr:cNvSpPr txBox="1"/>
      </xdr:nvSpPr>
      <xdr:spPr>
        <a:xfrm>
          <a:off x="6442755" y="226422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115434</xdr:colOff>
      <xdr:row>11</xdr:row>
      <xdr:rowOff>177799</xdr:rowOff>
    </xdr:from>
    <xdr:ext cx="65" cy="172227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5F193715-F3BD-FF4D-BEE3-3E4D0F189CEB}"/>
            </a:ext>
          </a:extLst>
        </xdr:cNvPr>
        <xdr:cNvSpPr txBox="1"/>
      </xdr:nvSpPr>
      <xdr:spPr>
        <a:xfrm>
          <a:off x="6442755" y="226422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34F15-27C8-C048-8720-DE5CF07707AC}">
  <dimension ref="A1:L39"/>
  <sheetViews>
    <sheetView showGridLines="0" tabSelected="1" zoomScale="90" zoomScaleNormal="90" workbookViewId="0">
      <pane xSplit="6" ySplit="2" topLeftCell="G3" activePane="bottomRight" state="frozen"/>
      <selection pane="topRight" activeCell="G1" sqref="G1"/>
      <selection pane="bottomLeft" activeCell="A3" sqref="A3"/>
      <selection pane="bottomRight" activeCell="H27" sqref="H27:L37"/>
    </sheetView>
  </sheetViews>
  <sheetFormatPr baseColWidth="10" defaultRowHeight="14" x14ac:dyDescent="0.15"/>
  <cols>
    <col min="1" max="1" width="43.6640625" style="2" bestFit="1" customWidth="1"/>
    <col min="2" max="3" width="10" style="2" bestFit="1" customWidth="1"/>
    <col min="4" max="4" width="3.5" style="16" customWidth="1"/>
    <col min="5" max="5" width="10.5" style="2" bestFit="1" customWidth="1"/>
    <col min="6" max="6" width="6" style="2" customWidth="1"/>
    <col min="7" max="7" width="5.5" style="2" customWidth="1"/>
    <col min="8" max="8" width="25.5" style="2" bestFit="1" customWidth="1"/>
    <col min="9" max="9" width="10.83203125" style="2"/>
    <col min="10" max="10" width="9.6640625" style="2" bestFit="1" customWidth="1"/>
    <col min="11" max="11" width="5" style="2" customWidth="1"/>
    <col min="12" max="16384" width="10.83203125" style="2"/>
  </cols>
  <sheetData>
    <row r="1" spans="1:12" ht="16" x14ac:dyDescent="0.2">
      <c r="A1" s="4" t="s">
        <v>42</v>
      </c>
      <c r="H1" s="4" t="s">
        <v>23</v>
      </c>
      <c r="K1" s="16"/>
    </row>
    <row r="2" spans="1:12" x14ac:dyDescent="0.15">
      <c r="K2" s="16"/>
    </row>
    <row r="3" spans="1:12" ht="16" thickBot="1" x14ac:dyDescent="0.2">
      <c r="A3" s="17" t="s">
        <v>85</v>
      </c>
      <c r="B3" s="17">
        <v>2024</v>
      </c>
      <c r="C3" s="17">
        <v>2025</v>
      </c>
      <c r="D3" s="18"/>
      <c r="E3" s="19" t="s">
        <v>56</v>
      </c>
      <c r="H3" s="43" t="s">
        <v>84</v>
      </c>
      <c r="I3" s="17">
        <v>2024</v>
      </c>
      <c r="J3" s="17">
        <v>2025</v>
      </c>
      <c r="K3" s="18"/>
      <c r="L3" s="19" t="s">
        <v>56</v>
      </c>
    </row>
    <row r="4" spans="1:12" x14ac:dyDescent="0.15">
      <c r="A4" s="2" t="s">
        <v>0</v>
      </c>
      <c r="B4" s="2">
        <v>2425</v>
      </c>
      <c r="C4" s="2">
        <v>2168</v>
      </c>
      <c r="D4" s="20"/>
      <c r="E4" s="21">
        <f>C4/B4-1</f>
        <v>-0.10597938144329899</v>
      </c>
      <c r="H4" s="2" t="s">
        <v>86</v>
      </c>
      <c r="I4" s="2">
        <f>B11</f>
        <v>13531</v>
      </c>
      <c r="J4" s="2">
        <f>C11</f>
        <v>8851</v>
      </c>
      <c r="K4" s="20"/>
      <c r="L4" s="21">
        <f>J4/I4-1</f>
        <v>-0.34587244106126669</v>
      </c>
    </row>
    <row r="5" spans="1:12" x14ac:dyDescent="0.15">
      <c r="A5" s="2" t="s">
        <v>2</v>
      </c>
      <c r="B5" s="2">
        <v>60406</v>
      </c>
      <c r="C5" s="2">
        <v>61130</v>
      </c>
      <c r="D5" s="20"/>
      <c r="E5" s="21">
        <f>C5/B5-1</f>
        <v>1.1985564347912536E-2</v>
      </c>
      <c r="H5" s="2" t="s">
        <v>117</v>
      </c>
      <c r="I5" s="2">
        <f>B9</f>
        <v>89434</v>
      </c>
      <c r="J5" s="2">
        <f>C9</f>
        <v>88748</v>
      </c>
      <c r="K5" s="20"/>
      <c r="L5" s="21">
        <f t="shared" ref="L5:L20" si="0">J5/I5-1</f>
        <v>-7.6704608985397327E-3</v>
      </c>
    </row>
    <row r="6" spans="1:12" x14ac:dyDescent="0.15">
      <c r="A6" s="16" t="s">
        <v>3</v>
      </c>
      <c r="B6" s="16">
        <v>8209</v>
      </c>
      <c r="C6" s="16">
        <v>7941</v>
      </c>
      <c r="D6" s="20"/>
      <c r="E6" s="21">
        <f>C6/B6-1</f>
        <v>-3.264709465221094E-2</v>
      </c>
      <c r="H6" s="2" t="s">
        <v>89</v>
      </c>
      <c r="I6" s="16">
        <f>B8</f>
        <v>17521</v>
      </c>
      <c r="J6" s="16">
        <f>C8</f>
        <v>19634</v>
      </c>
      <c r="K6" s="20"/>
      <c r="L6" s="21">
        <f t="shared" si="0"/>
        <v>0.12059813937560637</v>
      </c>
    </row>
    <row r="7" spans="1:12" ht="20" customHeight="1" x14ac:dyDescent="0.15">
      <c r="A7" s="10" t="s">
        <v>24</v>
      </c>
      <c r="B7" s="10">
        <f>SUM(B4:B6)</f>
        <v>71040</v>
      </c>
      <c r="C7" s="10">
        <f>SUM(C4:C6)</f>
        <v>71239</v>
      </c>
      <c r="D7" s="22"/>
      <c r="E7" s="23">
        <f>C7/B7-1</f>
        <v>2.8012387387388316E-3</v>
      </c>
      <c r="H7" s="10" t="s">
        <v>91</v>
      </c>
      <c r="I7" s="22">
        <f>SUM(I4:I6)</f>
        <v>120486</v>
      </c>
      <c r="J7" s="22">
        <f t="shared" ref="J7" si="1">SUM(J4:J6)</f>
        <v>117233</v>
      </c>
      <c r="K7" s="22"/>
      <c r="L7" s="23">
        <f t="shared" si="0"/>
        <v>-2.6998987434224686E-2</v>
      </c>
    </row>
    <row r="8" spans="1:12" x14ac:dyDescent="0.15">
      <c r="A8" s="2" t="s">
        <v>4</v>
      </c>
      <c r="B8" s="2">
        <v>17521</v>
      </c>
      <c r="C8" s="2">
        <v>19634</v>
      </c>
      <c r="D8" s="20"/>
      <c r="E8" s="21">
        <f>C8/B8-1</f>
        <v>0.12059813937560637</v>
      </c>
      <c r="H8" s="2" t="s">
        <v>90</v>
      </c>
      <c r="I8" s="16">
        <f>B5</f>
        <v>60406</v>
      </c>
      <c r="J8" s="16">
        <f>C5</f>
        <v>61130</v>
      </c>
      <c r="K8" s="20"/>
      <c r="L8" s="21">
        <f t="shared" si="0"/>
        <v>1.1985564347912536E-2</v>
      </c>
    </row>
    <row r="9" spans="1:12" x14ac:dyDescent="0.15">
      <c r="A9" s="2" t="s">
        <v>5</v>
      </c>
      <c r="B9" s="2">
        <v>89434</v>
      </c>
      <c r="C9" s="2">
        <v>88748</v>
      </c>
      <c r="D9" s="20"/>
      <c r="E9" s="21">
        <f>C9/B9-1</f>
        <v>-7.6704608985397327E-3</v>
      </c>
      <c r="H9" s="2" t="s">
        <v>94</v>
      </c>
      <c r="I9" s="16">
        <f>B4</f>
        <v>2425</v>
      </c>
      <c r="J9" s="16">
        <f>C4</f>
        <v>2168</v>
      </c>
      <c r="K9" s="22"/>
      <c r="L9" s="21">
        <f t="shared" si="0"/>
        <v>-0.10597938144329899</v>
      </c>
    </row>
    <row r="10" spans="1:12" x14ac:dyDescent="0.15">
      <c r="A10" s="22" t="s">
        <v>25</v>
      </c>
      <c r="B10" s="22">
        <f>SUM(B8:B9)</f>
        <v>106955</v>
      </c>
      <c r="C10" s="22">
        <f>SUM(C8:C9)</f>
        <v>108382</v>
      </c>
      <c r="D10" s="22"/>
      <c r="E10" s="23">
        <f>C10/B10-1</f>
        <v>1.3342059744752444E-2</v>
      </c>
      <c r="H10" s="9" t="s">
        <v>129</v>
      </c>
      <c r="I10" s="9">
        <f>B6</f>
        <v>8209</v>
      </c>
      <c r="J10" s="9">
        <f>C6</f>
        <v>7941</v>
      </c>
      <c r="K10" s="22"/>
      <c r="L10" s="21">
        <f t="shared" si="0"/>
        <v>-3.264709465221094E-2</v>
      </c>
    </row>
    <row r="11" spans="1:12" ht="20" customHeight="1" thickBot="1" x14ac:dyDescent="0.2">
      <c r="A11" s="24" t="s">
        <v>7</v>
      </c>
      <c r="B11" s="25">
        <v>13531</v>
      </c>
      <c r="C11" s="25">
        <v>8851</v>
      </c>
      <c r="D11" s="22"/>
      <c r="E11" s="23">
        <f>C11/B11-1</f>
        <v>-0.34587244106126669</v>
      </c>
      <c r="H11" s="8" t="s">
        <v>88</v>
      </c>
      <c r="I11" s="8">
        <f>SUM(I7:I10)</f>
        <v>191526</v>
      </c>
      <c r="J11" s="8">
        <f>SUM(J7:J10)</f>
        <v>188472</v>
      </c>
      <c r="K11" s="22"/>
      <c r="L11" s="28">
        <f t="shared" si="0"/>
        <v>-1.5945615738855334E-2</v>
      </c>
    </row>
    <row r="12" spans="1:12" ht="18" customHeight="1" thickBot="1" x14ac:dyDescent="0.2">
      <c r="A12" s="26" t="s">
        <v>8</v>
      </c>
      <c r="B12" s="26">
        <f>SUM(B7,B10,B11)</f>
        <v>191526</v>
      </c>
      <c r="C12" s="26">
        <f>SUM(C7,C10,C11)</f>
        <v>188472</v>
      </c>
      <c r="D12" s="27"/>
      <c r="E12" s="28">
        <f>C12/B12-1</f>
        <v>-1.5945615738855334E-2</v>
      </c>
      <c r="H12" s="16" t="s">
        <v>92</v>
      </c>
      <c r="I12" s="16">
        <f>B21</f>
        <v>76315</v>
      </c>
      <c r="J12" s="16">
        <f>C21</f>
        <v>70725</v>
      </c>
      <c r="K12" s="16"/>
      <c r="L12" s="21">
        <f t="shared" si="0"/>
        <v>-7.3249033610692571E-2</v>
      </c>
    </row>
    <row r="13" spans="1:12" x14ac:dyDescent="0.15">
      <c r="A13" s="2" t="s">
        <v>1</v>
      </c>
      <c r="B13" s="2">
        <v>27708</v>
      </c>
      <c r="C13" s="2">
        <v>23082</v>
      </c>
      <c r="E13" s="21">
        <f t="shared" ref="E13:E18" si="2">C13/B13-1</f>
        <v>-0.16695539194456477</v>
      </c>
      <c r="H13" s="16" t="s">
        <v>93</v>
      </c>
      <c r="I13" s="16">
        <f>B20</f>
        <v>33608</v>
      </c>
      <c r="J13" s="16">
        <f>C20</f>
        <v>37173</v>
      </c>
      <c r="K13" s="16"/>
      <c r="L13" s="21">
        <f t="shared" si="0"/>
        <v>0.10607593430135687</v>
      </c>
    </row>
    <row r="14" spans="1:12" ht="20" customHeight="1" x14ac:dyDescent="0.15">
      <c r="A14" s="2" t="s">
        <v>26</v>
      </c>
      <c r="B14" s="2">
        <v>9374</v>
      </c>
      <c r="C14" s="2">
        <v>9087</v>
      </c>
      <c r="E14" s="21">
        <f t="shared" si="2"/>
        <v>-3.0616599103904463E-2</v>
      </c>
      <c r="H14" s="2" t="s">
        <v>108</v>
      </c>
      <c r="I14" s="16">
        <f>B22+B24</f>
        <v>37339</v>
      </c>
      <c r="J14" s="16">
        <f>C22+C24</f>
        <v>40922</v>
      </c>
      <c r="K14" s="16"/>
      <c r="L14" s="21">
        <f>J14/I14-1</f>
        <v>9.5958649133613738E-2</v>
      </c>
    </row>
    <row r="15" spans="1:12" ht="16" customHeight="1" x14ac:dyDescent="0.15">
      <c r="A15" s="2" t="s">
        <v>27</v>
      </c>
      <c r="B15" s="2">
        <v>4033</v>
      </c>
      <c r="C15" s="2">
        <v>4033</v>
      </c>
      <c r="E15" s="21"/>
      <c r="H15" s="22" t="s">
        <v>87</v>
      </c>
      <c r="I15" s="22">
        <f>SUM(I12:I14)</f>
        <v>147262</v>
      </c>
      <c r="J15" s="22">
        <f>SUM(J12:J14)</f>
        <v>148820</v>
      </c>
      <c r="K15" s="16"/>
      <c r="L15" s="21">
        <f>J15/I15-1</f>
        <v>1.0579782971846141E-2</v>
      </c>
    </row>
    <row r="16" spans="1:12" ht="16" customHeight="1" x14ac:dyDescent="0.15">
      <c r="A16" s="10" t="s">
        <v>35</v>
      </c>
      <c r="B16" s="10">
        <f>SUM(B13:B15)</f>
        <v>41115</v>
      </c>
      <c r="C16" s="10">
        <v>36202</v>
      </c>
      <c r="D16" s="22"/>
      <c r="E16" s="23">
        <f t="shared" si="2"/>
        <v>-0.11949410190927889</v>
      </c>
      <c r="H16" s="16" t="s">
        <v>130</v>
      </c>
      <c r="I16" s="16">
        <f>B17</f>
        <v>1681</v>
      </c>
      <c r="J16" s="16">
        <f>C17</f>
        <v>1888</v>
      </c>
      <c r="K16" s="16"/>
      <c r="L16" s="21">
        <f t="shared" si="0"/>
        <v>0.12314098750743607</v>
      </c>
    </row>
    <row r="17" spans="1:12" ht="14" customHeight="1" x14ac:dyDescent="0.15">
      <c r="A17" s="2" t="s">
        <v>28</v>
      </c>
      <c r="B17" s="2">
        <v>1681</v>
      </c>
      <c r="C17" s="2">
        <v>1888</v>
      </c>
      <c r="E17" s="21">
        <f t="shared" si="2"/>
        <v>0.12314098750743607</v>
      </c>
      <c r="H17" s="16" t="s">
        <v>133</v>
      </c>
      <c r="I17" s="16">
        <f>B18</f>
        <v>1468</v>
      </c>
      <c r="J17" s="16">
        <f>C18</f>
        <v>1562</v>
      </c>
      <c r="K17" s="16"/>
      <c r="L17" s="21">
        <f t="shared" si="0"/>
        <v>6.4032697547683926E-2</v>
      </c>
    </row>
    <row r="18" spans="1:12" ht="24" customHeight="1" x14ac:dyDescent="0.15">
      <c r="A18" s="2" t="s">
        <v>29</v>
      </c>
      <c r="B18" s="2">
        <v>1468</v>
      </c>
      <c r="C18" s="2">
        <v>1562</v>
      </c>
      <c r="E18" s="21">
        <f t="shared" si="2"/>
        <v>6.4032697547683926E-2</v>
      </c>
      <c r="H18" s="22" t="s">
        <v>95</v>
      </c>
      <c r="I18" s="22">
        <f>SUM(I15:I17)</f>
        <v>150411</v>
      </c>
      <c r="J18" s="22">
        <f>SUM(J15:J17)</f>
        <v>152270</v>
      </c>
      <c r="K18" s="16"/>
      <c r="L18" s="23">
        <f t="shared" si="0"/>
        <v>1.2359468389944839E-2</v>
      </c>
    </row>
    <row r="19" spans="1:12" ht="15" customHeight="1" x14ac:dyDescent="0.15">
      <c r="A19" s="10" t="s">
        <v>34</v>
      </c>
      <c r="B19" s="10">
        <f>SUM(B16:B18)</f>
        <v>44264</v>
      </c>
      <c r="C19" s="10">
        <f>SUM(C16:C18)</f>
        <v>39652</v>
      </c>
      <c r="E19" s="23">
        <f>C19/B19-1</f>
        <v>-0.10419302367612504</v>
      </c>
      <c r="H19" s="22" t="s">
        <v>131</v>
      </c>
      <c r="I19" s="22">
        <f>B16</f>
        <v>41115</v>
      </c>
      <c r="J19" s="22">
        <f>C16</f>
        <v>36202</v>
      </c>
      <c r="K19" s="22"/>
      <c r="L19" s="23">
        <f t="shared" si="0"/>
        <v>-0.11949410190927889</v>
      </c>
    </row>
    <row r="20" spans="1:12" ht="23" customHeight="1" thickBot="1" x14ac:dyDescent="0.2">
      <c r="A20" s="2" t="s">
        <v>6</v>
      </c>
      <c r="B20" s="2">
        <v>33608</v>
      </c>
      <c r="C20" s="2">
        <v>37173</v>
      </c>
      <c r="E20" s="21">
        <f>C20/B20-1</f>
        <v>0.10607593430135687</v>
      </c>
      <c r="H20" s="8" t="s">
        <v>96</v>
      </c>
      <c r="I20" s="8">
        <f>SUM(I18:I19)</f>
        <v>191526</v>
      </c>
      <c r="J20" s="8">
        <f>SUM(J18:J19)</f>
        <v>188472</v>
      </c>
      <c r="K20" s="16"/>
      <c r="L20" s="28">
        <f t="shared" si="0"/>
        <v>-1.5945615738855334E-2</v>
      </c>
    </row>
    <row r="21" spans="1:12" ht="14" customHeight="1" x14ac:dyDescent="0.15">
      <c r="A21" s="2" t="s">
        <v>30</v>
      </c>
      <c r="B21" s="2">
        <v>76315</v>
      </c>
      <c r="C21" s="2">
        <v>70725</v>
      </c>
      <c r="E21" s="21">
        <f>C21/B21-1</f>
        <v>-7.3249033610692571E-2</v>
      </c>
      <c r="G21" s="16"/>
      <c r="H21" s="16"/>
      <c r="I21" s="16"/>
      <c r="J21" s="16"/>
      <c r="K21" s="21"/>
    </row>
    <row r="22" spans="1:12" ht="22" customHeight="1" x14ac:dyDescent="0.15">
      <c r="A22" s="2" t="s">
        <v>31</v>
      </c>
      <c r="B22" s="2">
        <v>15604</v>
      </c>
      <c r="C22" s="2">
        <v>10145</v>
      </c>
      <c r="E22" s="21">
        <f>C22/B22-1</f>
        <v>-0.34984619328377342</v>
      </c>
      <c r="G22" s="22"/>
      <c r="H22" s="22"/>
      <c r="I22" s="22"/>
      <c r="J22" s="16"/>
      <c r="K22" s="21"/>
    </row>
    <row r="23" spans="1:12" ht="16" customHeight="1" x14ac:dyDescent="0.15">
      <c r="A23" s="22" t="s">
        <v>32</v>
      </c>
      <c r="B23" s="22">
        <f>SUM(B20:B22)</f>
        <v>125527</v>
      </c>
      <c r="C23" s="22">
        <f>SUM(C20:C22)</f>
        <v>118043</v>
      </c>
      <c r="E23" s="23">
        <f>C23/B23-1</f>
        <v>-5.9620639384355578E-2</v>
      </c>
      <c r="G23" s="27"/>
      <c r="H23" s="27"/>
      <c r="I23" s="27"/>
      <c r="J23" s="16"/>
      <c r="K23" s="28"/>
    </row>
    <row r="24" spans="1:12" ht="17" customHeight="1" x14ac:dyDescent="0.15">
      <c r="A24" s="25" t="s">
        <v>33</v>
      </c>
      <c r="B24" s="25">
        <v>21735</v>
      </c>
      <c r="C24" s="25">
        <v>30777</v>
      </c>
      <c r="E24" s="23">
        <f>C24/B24-1</f>
        <v>0.41601104209799855</v>
      </c>
      <c r="J24" s="16"/>
      <c r="K24" s="21"/>
    </row>
    <row r="25" spans="1:12" ht="17" customHeight="1" thickBot="1" x14ac:dyDescent="0.2">
      <c r="A25" s="26" t="s">
        <v>9</v>
      </c>
      <c r="B25" s="26">
        <f>B19+B23+B24</f>
        <v>191526</v>
      </c>
      <c r="C25" s="26">
        <f>SUM(C19,C23,C24)</f>
        <v>188472</v>
      </c>
      <c r="E25" s="28">
        <f>C25/B25-1</f>
        <v>-1.5945615738855334E-2</v>
      </c>
    </row>
    <row r="26" spans="1:12" ht="21" customHeight="1" x14ac:dyDescent="0.15">
      <c r="E26" s="21"/>
    </row>
    <row r="27" spans="1:12" ht="17" customHeight="1" x14ac:dyDescent="0.15">
      <c r="A27" s="13" t="s">
        <v>55</v>
      </c>
      <c r="B27" s="12"/>
      <c r="C27" s="12"/>
      <c r="D27" s="29"/>
      <c r="E27" s="12"/>
      <c r="H27" s="13" t="s">
        <v>55</v>
      </c>
      <c r="I27" s="36"/>
      <c r="J27" s="36"/>
      <c r="K27" s="37"/>
      <c r="L27" s="36"/>
    </row>
    <row r="28" spans="1:12" ht="16" customHeight="1" x14ac:dyDescent="0.15">
      <c r="A28" s="13" t="s">
        <v>61</v>
      </c>
      <c r="B28" s="12"/>
      <c r="C28" s="12"/>
      <c r="D28" s="29"/>
      <c r="E28" s="12"/>
      <c r="H28" s="13" t="s">
        <v>97</v>
      </c>
      <c r="I28" s="36"/>
      <c r="J28" s="36"/>
      <c r="K28" s="37"/>
      <c r="L28" s="36"/>
    </row>
    <row r="29" spans="1:12" x14ac:dyDescent="0.15">
      <c r="A29" s="12" t="s">
        <v>63</v>
      </c>
      <c r="B29" s="14">
        <f>(B10+B11)/(B23+B24)</f>
        <v>0.81817441023481963</v>
      </c>
      <c r="C29" s="14">
        <f>(C10+C11)/(C23+C24)</f>
        <v>0.78775030237871257</v>
      </c>
      <c r="D29" s="30"/>
      <c r="E29" s="31">
        <f t="shared" ref="E29:E34" si="3">C29/B29-1</f>
        <v>-3.7185357395100094E-2</v>
      </c>
      <c r="H29" s="12" t="s">
        <v>99</v>
      </c>
      <c r="I29" s="14">
        <f>I7/I15</f>
        <v>0.81817441023481963</v>
      </c>
      <c r="J29" s="14">
        <f>J7/J15</f>
        <v>0.78775030237871257</v>
      </c>
      <c r="K29" s="30"/>
      <c r="L29" s="31">
        <f t="shared" ref="L29:L37" si="4">J29/I29-1</f>
        <v>-3.7185357395100094E-2</v>
      </c>
    </row>
    <row r="30" spans="1:12" x14ac:dyDescent="0.15">
      <c r="A30" s="12" t="s">
        <v>69</v>
      </c>
      <c r="B30" s="14">
        <f>B11/(B23+B24)</f>
        <v>9.1883853268324489E-2</v>
      </c>
      <c r="C30" s="14">
        <f>C11/(C23+C24)</f>
        <v>5.9474532992877305E-2</v>
      </c>
      <c r="D30" s="29"/>
      <c r="E30" s="31">
        <f t="shared" si="3"/>
        <v>-0.35272051750815925</v>
      </c>
      <c r="H30" s="12" t="s">
        <v>98</v>
      </c>
      <c r="I30" s="14">
        <f>I4/I15</f>
        <v>9.1883853268324489E-2</v>
      </c>
      <c r="J30" s="14">
        <f>J4/J15</f>
        <v>5.9474532992877305E-2</v>
      </c>
      <c r="K30" s="30"/>
      <c r="L30" s="31">
        <f t="shared" si="4"/>
        <v>-0.35272051750815925</v>
      </c>
    </row>
    <row r="31" spans="1:12" x14ac:dyDescent="0.15">
      <c r="A31" s="12" t="s">
        <v>36</v>
      </c>
      <c r="B31" s="35">
        <f>B9/'Income statement'!B6*360</f>
        <v>51.028357328971644</v>
      </c>
      <c r="C31" s="35">
        <f>C9/'Income statement'!C6*360</f>
        <v>53.438953609928667</v>
      </c>
      <c r="D31" s="29"/>
      <c r="E31" s="14">
        <f t="shared" si="3"/>
        <v>4.7240326891502704E-2</v>
      </c>
      <c r="H31" s="12" t="s">
        <v>36</v>
      </c>
      <c r="I31" s="58">
        <f>(I5/'Income statement'!I6)*360</f>
        <v>51.028357328971644</v>
      </c>
      <c r="J31" s="58">
        <f>(J5/'Income statement'!J6)*360</f>
        <v>53.438953609928667</v>
      </c>
      <c r="K31" s="59"/>
      <c r="L31" s="14">
        <f t="shared" si="4"/>
        <v>4.7240326891502704E-2</v>
      </c>
    </row>
    <row r="32" spans="1:12" x14ac:dyDescent="0.15">
      <c r="A32" s="12" t="s">
        <v>38</v>
      </c>
      <c r="B32" s="12">
        <f>B8/('Income statement'!B7)*360</f>
        <v>-11.335989604955978</v>
      </c>
      <c r="C32" s="12">
        <f>C8/('Income statement'!C7+'Cash Flow statement'!C6)*360</f>
        <v>-13.559678400211791</v>
      </c>
      <c r="D32" s="29"/>
      <c r="E32" s="14">
        <f t="shared" si="3"/>
        <v>0.19616185906554096</v>
      </c>
      <c r="H32" s="12" t="s">
        <v>38</v>
      </c>
      <c r="I32" s="58">
        <f>I6/('Income statement'!I7)*360</f>
        <v>-11.335989604955978</v>
      </c>
      <c r="J32" s="58">
        <f>J6/('Income statement'!J7)*360</f>
        <v>-13.614840982592934</v>
      </c>
      <c r="K32" s="59"/>
      <c r="L32" s="14">
        <f t="shared" si="4"/>
        <v>0.20102800523393793</v>
      </c>
    </row>
    <row r="33" spans="1:12" x14ac:dyDescent="0.15">
      <c r="A33" s="12" t="s">
        <v>37</v>
      </c>
      <c r="B33" s="12">
        <f>B21/('Income statement'!B7)*360</f>
        <v>-49.375380783186763</v>
      </c>
      <c r="C33" s="12">
        <f>C21/('Income statement'!C7-'Cash Flow statement'!C6)*360</f>
        <v>-49.243296038062454</v>
      </c>
      <c r="D33" s="29"/>
      <c r="E33" s="14">
        <f t="shared" si="3"/>
        <v>-2.6751134478194549E-3</v>
      </c>
      <c r="H33" s="12" t="s">
        <v>37</v>
      </c>
      <c r="I33" s="58">
        <f>I12/('Income statement'!I7)*360</f>
        <v>-49.375380783186763</v>
      </c>
      <c r="J33" s="58">
        <f>J12/('Income statement'!J7)*360</f>
        <v>-49.042967734230679</v>
      </c>
      <c r="K33" s="59"/>
      <c r="L33" s="14">
        <f t="shared" si="4"/>
        <v>-6.7323642609613543E-3</v>
      </c>
    </row>
    <row r="34" spans="1:12" x14ac:dyDescent="0.15">
      <c r="A34" s="12" t="s">
        <v>40</v>
      </c>
      <c r="B34" s="12">
        <f>SUM(B31:B33)</f>
        <v>-9.6830130591710954</v>
      </c>
      <c r="C34" s="12">
        <f t="shared" ref="C34" si="5">SUM(C31:C33)</f>
        <v>-9.3640208283455735</v>
      </c>
      <c r="D34" s="29"/>
      <c r="E34" s="14">
        <f t="shared" si="3"/>
        <v>-3.2943488651334007E-2</v>
      </c>
      <c r="H34" s="12" t="s">
        <v>39</v>
      </c>
      <c r="I34" s="58">
        <f>SUM(I31:I33)</f>
        <v>-9.6830130591710954</v>
      </c>
      <c r="J34" s="58">
        <f t="shared" ref="J34" si="6">SUM(J31:J33)</f>
        <v>-9.2188551068949423</v>
      </c>
      <c r="K34" s="59"/>
      <c r="L34" s="14">
        <f t="shared" si="4"/>
        <v>-4.7935281036984079E-2</v>
      </c>
    </row>
    <row r="35" spans="1:12" x14ac:dyDescent="0.15">
      <c r="A35" s="12"/>
      <c r="B35" s="12"/>
      <c r="C35" s="12"/>
      <c r="D35" s="29"/>
      <c r="E35" s="14"/>
      <c r="H35" s="12"/>
      <c r="I35" s="14"/>
      <c r="J35" s="14"/>
      <c r="K35" s="30"/>
      <c r="L35" s="31"/>
    </row>
    <row r="36" spans="1:12" x14ac:dyDescent="0.15">
      <c r="A36" s="13" t="s">
        <v>60</v>
      </c>
      <c r="B36" s="14"/>
      <c r="C36" s="14"/>
      <c r="D36" s="29"/>
      <c r="E36" s="31"/>
      <c r="H36" s="13" t="s">
        <v>100</v>
      </c>
      <c r="I36" s="14"/>
      <c r="J36" s="14"/>
      <c r="K36" s="30"/>
      <c r="L36" s="31"/>
    </row>
    <row r="37" spans="1:12" x14ac:dyDescent="0.15">
      <c r="A37" s="12" t="s">
        <v>62</v>
      </c>
      <c r="B37" s="14">
        <f>SUM(B17:B18,B23,B24)/B12</f>
        <v>0.78532940697346576</v>
      </c>
      <c r="C37" s="14">
        <f>SUM(C17:C18,C23,C24)/C12</f>
        <v>0.8079184175898807</v>
      </c>
      <c r="D37" s="29"/>
      <c r="E37" s="31">
        <f>C37/B37-1</f>
        <v>2.8763739668770771E-2</v>
      </c>
      <c r="H37" s="12" t="s">
        <v>101</v>
      </c>
      <c r="I37" s="14">
        <f>I18/I11</f>
        <v>0.78532940697346576</v>
      </c>
      <c r="J37" s="14">
        <f>J18/J11</f>
        <v>0.8079184175898807</v>
      </c>
      <c r="K37" s="30"/>
      <c r="L37" s="31">
        <f t="shared" si="4"/>
        <v>2.8763739668770771E-2</v>
      </c>
    </row>
    <row r="39" spans="1:12" ht="14" customHeight="1" x14ac:dyDescent="0.15"/>
  </sheetData>
  <conditionalFormatting sqref="L27:L37 K21:K24 L4:L20">
    <cfRule type="iconSet" priority="31">
      <iconSet>
        <cfvo type="percent" val="0"/>
        <cfvo type="num" val="0"/>
        <cfvo type="num" val="0.1"/>
      </iconSet>
    </cfRule>
  </conditionalFormatting>
  <conditionalFormatting sqref="E4:E37">
    <cfRule type="iconSet" priority="33">
      <iconSet>
        <cfvo type="percent" val="0"/>
        <cfvo type="num" val="0"/>
        <cfvo type="num" val="0.1"/>
      </iconSet>
    </cfRule>
  </conditionalFormatting>
  <pageMargins left="0.7" right="0.7" top="0.75" bottom="0.75" header="0.3" footer="0.3"/>
  <ignoredErrors>
    <ignoredError sqref="B7:C7 C19 C37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801AD-AC5C-0E4E-B9F1-A52EC81A101A}">
  <dimension ref="A1:L24"/>
  <sheetViews>
    <sheetView showGridLines="0" workbookViewId="0">
      <pane xSplit="6" ySplit="2" topLeftCell="G3" activePane="bottomRight" state="frozen"/>
      <selection pane="topRight" activeCell="G1" sqref="G1"/>
      <selection pane="bottomLeft" activeCell="A4" sqref="A4"/>
      <selection pane="bottomRight" activeCell="H10" sqref="H10"/>
    </sheetView>
  </sheetViews>
  <sheetFormatPr baseColWidth="10" defaultRowHeight="14" x14ac:dyDescent="0.15"/>
  <cols>
    <col min="1" max="1" width="48.1640625" style="2" bestFit="1" customWidth="1"/>
    <col min="2" max="2" width="27.1640625" style="2" bestFit="1" customWidth="1"/>
    <col min="3" max="3" width="10.6640625" style="2" bestFit="1" customWidth="1"/>
    <col min="4" max="4" width="3" style="2" customWidth="1"/>
    <col min="5" max="5" width="10.83203125" style="2"/>
    <col min="6" max="6" width="4.5" style="2" customWidth="1"/>
    <col min="7" max="7" width="4.6640625" style="2" customWidth="1"/>
    <col min="8" max="8" width="48.1640625" style="2" bestFit="1" customWidth="1"/>
    <col min="9" max="10" width="10.83203125" style="2"/>
    <col min="11" max="11" width="2.6640625" style="2" customWidth="1"/>
    <col min="12" max="16384" width="10.83203125" style="2"/>
  </cols>
  <sheetData>
    <row r="1" spans="1:12" ht="16" x14ac:dyDescent="0.2">
      <c r="A1" s="4" t="s">
        <v>41</v>
      </c>
      <c r="H1" s="3" t="s">
        <v>140</v>
      </c>
    </row>
    <row r="3" spans="1:12" ht="16" thickBot="1" x14ac:dyDescent="0.2">
      <c r="A3" s="8" t="s">
        <v>54</v>
      </c>
      <c r="B3" s="8">
        <v>2024</v>
      </c>
      <c r="C3" s="8">
        <v>2025</v>
      </c>
      <c r="E3" s="15" t="s">
        <v>70</v>
      </c>
      <c r="H3" s="42" t="s">
        <v>54</v>
      </c>
      <c r="I3" s="15">
        <v>2024</v>
      </c>
      <c r="J3" s="15">
        <v>2025</v>
      </c>
      <c r="K3" s="38"/>
      <c r="L3" s="15" t="s">
        <v>70</v>
      </c>
    </row>
    <row r="4" spans="1:12" x14ac:dyDescent="0.15">
      <c r="A4" s="2" t="s">
        <v>43</v>
      </c>
      <c r="B4" s="2">
        <v>621042</v>
      </c>
      <c r="C4" s="2">
        <v>588709</v>
      </c>
      <c r="E4" s="32">
        <f>C4/B4-1</f>
        <v>-5.2062501408922435E-2</v>
      </c>
      <c r="H4" s="16" t="s">
        <v>102</v>
      </c>
      <c r="I4" s="16">
        <f>B4</f>
        <v>621042</v>
      </c>
      <c r="J4" s="16">
        <f t="shared" ref="J4:J5" si="0">C4</f>
        <v>588709</v>
      </c>
      <c r="K4" s="16"/>
      <c r="L4" s="39">
        <f>J4/I4-1</f>
        <v>-5.2062501408922435E-2</v>
      </c>
    </row>
    <row r="5" spans="1:12" x14ac:dyDescent="0.15">
      <c r="A5" s="16" t="s">
        <v>58</v>
      </c>
      <c r="B5" s="16">
        <v>9906</v>
      </c>
      <c r="C5" s="16">
        <v>9156</v>
      </c>
      <c r="E5" s="32">
        <f t="shared" ref="E5:E23" si="1">C5/B5-1</f>
        <v>-7.5711689884918276E-2</v>
      </c>
      <c r="H5" s="16" t="s">
        <v>103</v>
      </c>
      <c r="I5" s="16">
        <f>B5</f>
        <v>9906</v>
      </c>
      <c r="J5" s="16">
        <f t="shared" si="0"/>
        <v>9156</v>
      </c>
      <c r="K5" s="16"/>
      <c r="L5" s="39">
        <f t="shared" ref="L5:L26" si="2">J5/I5-1</f>
        <v>-7.5711689884918276E-2</v>
      </c>
    </row>
    <row r="6" spans="1:12" ht="22" customHeight="1" x14ac:dyDescent="0.15">
      <c r="A6" s="10" t="s">
        <v>65</v>
      </c>
      <c r="B6" s="10">
        <f>SUM(B4:B5)</f>
        <v>630948</v>
      </c>
      <c r="C6" s="10">
        <f>SUM(C4:C5)</f>
        <v>597865</v>
      </c>
      <c r="E6" s="33">
        <f t="shared" si="1"/>
        <v>-5.2433798030899537E-2</v>
      </c>
      <c r="H6" s="22" t="s">
        <v>104</v>
      </c>
      <c r="I6" s="22">
        <f>SUM(I4:I5)</f>
        <v>630948</v>
      </c>
      <c r="J6" s="22">
        <f t="shared" ref="J6" si="3">SUM(J4:J5)</f>
        <v>597865</v>
      </c>
      <c r="K6" s="16"/>
      <c r="L6" s="40">
        <f t="shared" si="2"/>
        <v>-5.2433798030899537E-2</v>
      </c>
    </row>
    <row r="7" spans="1:12" x14ac:dyDescent="0.15">
      <c r="A7" s="2" t="s">
        <v>44</v>
      </c>
      <c r="B7" s="2">
        <v>-556419</v>
      </c>
      <c r="C7" s="2">
        <v>-519157</v>
      </c>
      <c r="E7" s="32">
        <f t="shared" si="1"/>
        <v>-6.6967519081842952E-2</v>
      </c>
      <c r="H7" s="16" t="s">
        <v>105</v>
      </c>
      <c r="I7" s="16">
        <f>B7</f>
        <v>-556419</v>
      </c>
      <c r="J7" s="16">
        <f>C7</f>
        <v>-519157</v>
      </c>
      <c r="K7" s="16"/>
      <c r="L7" s="39">
        <f t="shared" si="2"/>
        <v>-6.6967519081842952E-2</v>
      </c>
    </row>
    <row r="8" spans="1:12" x14ac:dyDescent="0.15">
      <c r="A8" s="16" t="s">
        <v>53</v>
      </c>
      <c r="B8" s="16">
        <v>-47755</v>
      </c>
      <c r="C8" s="16">
        <v>-49155</v>
      </c>
      <c r="E8" s="32">
        <f t="shared" si="1"/>
        <v>2.9316301957910129E-2</v>
      </c>
      <c r="H8" s="16" t="s">
        <v>106</v>
      </c>
      <c r="I8" s="16">
        <f>B8</f>
        <v>-47755</v>
      </c>
      <c r="J8" s="16">
        <f>C8</f>
        <v>-49155</v>
      </c>
      <c r="K8" s="16"/>
      <c r="L8" s="39">
        <f t="shared" si="2"/>
        <v>2.9316301957910129E-2</v>
      </c>
    </row>
    <row r="9" spans="1:12" ht="22" customHeight="1" x14ac:dyDescent="0.15">
      <c r="A9" s="10" t="s">
        <v>59</v>
      </c>
      <c r="B9" s="10">
        <f>SUM(B6:B8)</f>
        <v>26774</v>
      </c>
      <c r="C9" s="10">
        <f>SUM(C6:C8)</f>
        <v>29553</v>
      </c>
      <c r="E9" s="33">
        <f t="shared" si="1"/>
        <v>0.10379472622693653</v>
      </c>
      <c r="H9" s="22" t="s">
        <v>107</v>
      </c>
      <c r="I9" s="22">
        <f>SUM(I6:I8)</f>
        <v>26774</v>
      </c>
      <c r="J9" s="22">
        <f>SUM(J6:J8)</f>
        <v>29553</v>
      </c>
      <c r="K9" s="16"/>
      <c r="L9" s="40">
        <f t="shared" si="2"/>
        <v>0.10379472622693653</v>
      </c>
    </row>
    <row r="10" spans="1:12" ht="18" customHeight="1" x14ac:dyDescent="0.15">
      <c r="A10" s="16" t="s">
        <v>45</v>
      </c>
      <c r="B10" s="16">
        <v>-6745</v>
      </c>
      <c r="C10" s="16">
        <v>-7206</v>
      </c>
      <c r="E10" s="32">
        <f t="shared" si="1"/>
        <v>6.8346923647146118E-2</v>
      </c>
      <c r="H10" s="16" t="s">
        <v>115</v>
      </c>
      <c r="I10" s="16">
        <f>B10</f>
        <v>-6745</v>
      </c>
      <c r="J10" s="16">
        <f>C10</f>
        <v>-7206</v>
      </c>
      <c r="K10" s="16"/>
      <c r="L10" s="39">
        <f t="shared" si="2"/>
        <v>6.8346923647146118E-2</v>
      </c>
    </row>
    <row r="11" spans="1:12" ht="22" customHeight="1" x14ac:dyDescent="0.15">
      <c r="A11" s="10" t="s">
        <v>46</v>
      </c>
      <c r="B11" s="10">
        <f>SUM(B9:B10)</f>
        <v>20029</v>
      </c>
      <c r="C11" s="10">
        <f>SUM(C9:C10)</f>
        <v>22347</v>
      </c>
      <c r="E11" s="33">
        <f t="shared" si="1"/>
        <v>0.115732188326926</v>
      </c>
      <c r="H11" s="22" t="s">
        <v>109</v>
      </c>
      <c r="I11" s="22">
        <f>SUM(I9:I10)</f>
        <v>20029</v>
      </c>
      <c r="J11" s="22">
        <f>SUM(J9:J10)</f>
        <v>22347</v>
      </c>
      <c r="K11" s="16"/>
      <c r="L11" s="40">
        <f>J11/I11-1</f>
        <v>0.115732188326926</v>
      </c>
    </row>
    <row r="12" spans="1:12" ht="14" customHeight="1" x14ac:dyDescent="0.15">
      <c r="A12" s="2" t="s">
        <v>47</v>
      </c>
      <c r="B12" s="2">
        <v>-9538</v>
      </c>
      <c r="C12" s="2">
        <v>-10018</v>
      </c>
      <c r="E12" s="32">
        <f t="shared" si="1"/>
        <v>5.0325015726567335E-2</v>
      </c>
      <c r="H12" s="16" t="s">
        <v>110</v>
      </c>
      <c r="I12" s="16">
        <f>B12</f>
        <v>-9538</v>
      </c>
      <c r="J12" s="16">
        <f>C12</f>
        <v>-10018</v>
      </c>
      <c r="K12" s="16"/>
      <c r="L12" s="39">
        <f>J12/I12-1</f>
        <v>5.0325015726567335E-2</v>
      </c>
    </row>
    <row r="13" spans="1:12" ht="18" customHeight="1" x14ac:dyDescent="0.15">
      <c r="A13" s="10" t="s">
        <v>48</v>
      </c>
      <c r="B13" s="10">
        <f>SUM(B11:B12)</f>
        <v>10491</v>
      </c>
      <c r="C13" s="10">
        <f>SUM(C11:C12)</f>
        <v>12329</v>
      </c>
      <c r="E13" s="33">
        <f t="shared" si="1"/>
        <v>0.17519778858068813</v>
      </c>
      <c r="H13" s="22" t="s">
        <v>111</v>
      </c>
      <c r="I13" s="22">
        <f>SUM(I11:I12)</f>
        <v>10491</v>
      </c>
      <c r="J13" s="22">
        <f t="shared" ref="J13" si="4">SUM(J11:J12)</f>
        <v>12329</v>
      </c>
      <c r="K13" s="16"/>
      <c r="L13" s="40">
        <f>J13/I13-1</f>
        <v>0.17519778858068813</v>
      </c>
    </row>
    <row r="14" spans="1:12" x14ac:dyDescent="0.15">
      <c r="A14" s="2" t="s">
        <v>49</v>
      </c>
      <c r="B14" s="2">
        <v>2687</v>
      </c>
      <c r="C14" s="2">
        <v>268</v>
      </c>
      <c r="E14" s="32">
        <f t="shared" si="1"/>
        <v>-0.90026051358392256</v>
      </c>
      <c r="H14" s="16" t="s">
        <v>136</v>
      </c>
      <c r="I14" s="16">
        <f>B14</f>
        <v>2687</v>
      </c>
      <c r="J14" s="16">
        <f>C14</f>
        <v>268</v>
      </c>
      <c r="K14" s="16"/>
      <c r="L14" s="39">
        <f>J14/I14-1</f>
        <v>-0.90026051358392256</v>
      </c>
    </row>
    <row r="15" spans="1:12" ht="17" customHeight="1" x14ac:dyDescent="0.15">
      <c r="A15" s="10" t="s">
        <v>50</v>
      </c>
      <c r="B15" s="10">
        <f>SUM(B13:B14)</f>
        <v>13178</v>
      </c>
      <c r="C15" s="10">
        <f>SUM(C13:C14)</f>
        <v>12597</v>
      </c>
      <c r="E15" s="33">
        <f t="shared" si="1"/>
        <v>-4.408863256943385E-2</v>
      </c>
      <c r="H15" s="2" t="s">
        <v>135</v>
      </c>
      <c r="I15" s="2">
        <f>B16</f>
        <v>-869</v>
      </c>
      <c r="J15" s="2">
        <f>C16</f>
        <v>0</v>
      </c>
      <c r="K15" s="16"/>
      <c r="L15" s="39"/>
    </row>
    <row r="16" spans="1:12" ht="25" customHeight="1" x14ac:dyDescent="0.15">
      <c r="A16" s="10" t="s">
        <v>51</v>
      </c>
      <c r="B16" s="10">
        <v>-869</v>
      </c>
      <c r="C16" s="10">
        <v>0</v>
      </c>
      <c r="D16" s="10"/>
      <c r="E16" s="33"/>
      <c r="H16" s="22" t="s">
        <v>112</v>
      </c>
      <c r="I16" s="22">
        <f>SUM(I13:I15)</f>
        <v>12309</v>
      </c>
      <c r="J16" s="22">
        <f>SUM(J13:J15)</f>
        <v>12597</v>
      </c>
      <c r="L16" s="40">
        <f>J16/I16-1</f>
        <v>2.3397514014136034E-2</v>
      </c>
    </row>
    <row r="17" spans="1:12" x14ac:dyDescent="0.15">
      <c r="A17" s="9" t="s">
        <v>52</v>
      </c>
      <c r="B17" s="9">
        <v>-2934</v>
      </c>
      <c r="C17" s="9">
        <v>-3510</v>
      </c>
      <c r="E17" s="32">
        <f t="shared" si="1"/>
        <v>0.19631901840490795</v>
      </c>
      <c r="H17" s="9" t="s">
        <v>113</v>
      </c>
      <c r="I17" s="9">
        <f>B17</f>
        <v>-2934</v>
      </c>
      <c r="J17" s="9">
        <f>C17</f>
        <v>-3510</v>
      </c>
      <c r="K17" s="16"/>
      <c r="L17" s="39">
        <f>J17/I17-1</f>
        <v>0.19631901840490795</v>
      </c>
    </row>
    <row r="18" spans="1:12" ht="17" customHeight="1" thickBot="1" x14ac:dyDescent="0.2">
      <c r="A18" s="8" t="s">
        <v>57</v>
      </c>
      <c r="B18" s="8">
        <f>SUM(B15:B17)</f>
        <v>9375</v>
      </c>
      <c r="C18" s="8">
        <f>SUM(C15:C17)</f>
        <v>9087</v>
      </c>
      <c r="E18" s="34">
        <f t="shared" si="1"/>
        <v>-3.071999999999997E-2</v>
      </c>
      <c r="H18" s="8" t="s">
        <v>134</v>
      </c>
      <c r="I18" s="8">
        <f>SUM(I16:I17)</f>
        <v>9375</v>
      </c>
      <c r="J18" s="8">
        <f t="shared" ref="J18" si="5">SUM(J16:J17)</f>
        <v>9087</v>
      </c>
      <c r="K18" s="16"/>
      <c r="L18" s="41">
        <f>J18/I18-1</f>
        <v>-3.071999999999997E-2</v>
      </c>
    </row>
    <row r="19" spans="1:12" x14ac:dyDescent="0.15">
      <c r="E19" s="32"/>
      <c r="H19" s="22"/>
      <c r="I19" s="22"/>
      <c r="J19" s="22"/>
      <c r="K19" s="22"/>
      <c r="L19" s="39"/>
    </row>
    <row r="20" spans="1:12" ht="14" customHeight="1" x14ac:dyDescent="0.15">
      <c r="A20" s="13" t="s">
        <v>55</v>
      </c>
      <c r="B20" s="12"/>
      <c r="C20" s="12"/>
      <c r="E20" s="32"/>
      <c r="H20" s="13" t="s">
        <v>55</v>
      </c>
      <c r="I20" s="12"/>
      <c r="J20" s="12"/>
      <c r="L20" s="39"/>
    </row>
    <row r="21" spans="1:12" x14ac:dyDescent="0.15">
      <c r="A21" s="12" t="s">
        <v>68</v>
      </c>
      <c r="B21" s="11">
        <f>(B6+B9)/B6</f>
        <v>1.0424345587908987</v>
      </c>
      <c r="C21" s="11">
        <f>(C6+C9)/C6</f>
        <v>1.0494308915892383</v>
      </c>
      <c r="E21" s="32">
        <f t="shared" si="1"/>
        <v>6.7115319032156062E-3</v>
      </c>
      <c r="H21" s="12" t="s">
        <v>116</v>
      </c>
      <c r="I21" s="11">
        <f>(I6+I9)/I6</f>
        <v>1.0424345587908987</v>
      </c>
      <c r="J21" s="11">
        <f>(J6+J9)/J6</f>
        <v>1.0494308915892383</v>
      </c>
      <c r="L21" s="39">
        <f>J21/I21-1</f>
        <v>6.7115319032156062E-3</v>
      </c>
    </row>
    <row r="22" spans="1:12" x14ac:dyDescent="0.15">
      <c r="A22" s="12" t="s">
        <v>66</v>
      </c>
      <c r="B22" s="14">
        <f>B18/'Balance sheet'!B12</f>
        <v>4.8948967764167788E-2</v>
      </c>
      <c r="C22" s="14">
        <f>C18/'Balance sheet'!C12</f>
        <v>4.8214058321660515E-2</v>
      </c>
      <c r="E22" s="32">
        <f t="shared" si="1"/>
        <v>-1.501378836113576E-2</v>
      </c>
      <c r="H22" s="12" t="s">
        <v>66</v>
      </c>
      <c r="I22" s="14">
        <f>I18/'Balance sheet'!I11</f>
        <v>4.8948967764167788E-2</v>
      </c>
      <c r="J22" s="14">
        <f>J18/'Balance sheet'!J11</f>
        <v>4.8214058321660515E-2</v>
      </c>
      <c r="L22" s="39">
        <f>J22/I22-1</f>
        <v>-1.501378836113576E-2</v>
      </c>
    </row>
    <row r="23" spans="1:12" x14ac:dyDescent="0.15">
      <c r="A23" s="12" t="s">
        <v>67</v>
      </c>
      <c r="B23" s="14">
        <f>'Income statement'!B18/('Balance sheet'!B16)</f>
        <v>0.22801897117840203</v>
      </c>
      <c r="C23" s="14">
        <f>'Income statement'!C18/('Balance sheet'!C16)</f>
        <v>0.25100823158941493</v>
      </c>
      <c r="E23" s="32">
        <f t="shared" si="1"/>
        <v>0.10082170045853811</v>
      </c>
      <c r="H23" s="12" t="s">
        <v>67</v>
      </c>
      <c r="I23" s="14">
        <f>I18/(SUM('Balance sheet'!I19:I19))</f>
        <v>0.22801897117840203</v>
      </c>
      <c r="J23" s="14">
        <f>J18/(SUM('Balance sheet'!J19:J19))</f>
        <v>0.25100823158941493</v>
      </c>
      <c r="L23" s="39">
        <f>J23/I23-1</f>
        <v>0.10082170045853811</v>
      </c>
    </row>
    <row r="24" spans="1:12" x14ac:dyDescent="0.15">
      <c r="B24" s="21"/>
    </row>
  </sheetData>
  <conditionalFormatting sqref="E4:E23">
    <cfRule type="iconSet" priority="20">
      <iconSet>
        <cfvo type="percent" val="0"/>
        <cfvo type="num" val="0"/>
        <cfvo type="num" val="0.1"/>
      </iconSet>
    </cfRule>
  </conditionalFormatting>
  <conditionalFormatting sqref="L4:L23">
    <cfRule type="iconSet" priority="21">
      <iconSet>
        <cfvo type="percent" val="0"/>
        <cfvo type="num" val="0"/>
        <cfvo type="num" val="0.1"/>
      </iconSet>
    </cfRule>
  </conditionalFormatting>
  <pageMargins left="0.7" right="0.7" top="0.75" bottom="0.75" header="0.3" footer="0.3"/>
  <ignoredErrors>
    <ignoredError sqref="B6:C6" formulaRange="1"/>
    <ignoredError sqref="I6:J6 I9:J9 I11:J11 I12:J13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BF660-429D-564A-ADCB-A994C97387A3}">
  <dimension ref="A1:L32"/>
  <sheetViews>
    <sheetView showGridLines="0" zoomScale="90" zoomScaleNormal="90" workbookViewId="0">
      <pane xSplit="6" ySplit="2" topLeftCell="G3" activePane="bottomRight" state="frozen"/>
      <selection pane="topRight" activeCell="G1" sqref="G1"/>
      <selection pane="bottomLeft" activeCell="A3" sqref="A3"/>
      <selection pane="bottomRight" activeCell="H28" sqref="H28:L32"/>
    </sheetView>
  </sheetViews>
  <sheetFormatPr baseColWidth="10" defaultRowHeight="16" x14ac:dyDescent="0.2"/>
  <cols>
    <col min="1" max="1" width="65.6640625" style="1" bestFit="1" customWidth="1"/>
    <col min="2" max="3" width="9.6640625" style="1" bestFit="1" customWidth="1"/>
    <col min="4" max="4" width="2.1640625" style="1" customWidth="1"/>
    <col min="5" max="5" width="13.33203125" style="1" bestFit="1" customWidth="1"/>
    <col min="6" max="6" width="3.83203125" style="1" customWidth="1"/>
    <col min="7" max="7" width="6.5" style="1" customWidth="1"/>
    <col min="8" max="8" width="67.6640625" style="1" bestFit="1" customWidth="1"/>
    <col min="9" max="10" width="11" style="1" bestFit="1" customWidth="1"/>
    <col min="11" max="11" width="4" style="1" customWidth="1"/>
    <col min="12" max="12" width="12.1640625" style="1" bestFit="1" customWidth="1"/>
    <col min="13" max="16384" width="10.83203125" style="1"/>
  </cols>
  <sheetData>
    <row r="1" spans="1:12" x14ac:dyDescent="0.2">
      <c r="A1" s="4" t="s">
        <v>71</v>
      </c>
      <c r="H1" s="4" t="s">
        <v>139</v>
      </c>
    </row>
    <row r="3" spans="1:12" ht="18" thickBot="1" x14ac:dyDescent="0.25">
      <c r="A3" s="5" t="s">
        <v>64</v>
      </c>
      <c r="B3" s="5">
        <v>2024</v>
      </c>
      <c r="C3" s="5">
        <v>2025</v>
      </c>
      <c r="E3" s="44" t="s">
        <v>56</v>
      </c>
      <c r="H3" s="5" t="s">
        <v>64</v>
      </c>
      <c r="I3" s="5">
        <v>2024</v>
      </c>
      <c r="J3" s="5">
        <v>2025</v>
      </c>
      <c r="L3" s="44" t="s">
        <v>56</v>
      </c>
    </row>
    <row r="4" spans="1:12" x14ac:dyDescent="0.2">
      <c r="A4" s="7" t="s">
        <v>82</v>
      </c>
      <c r="B4" s="7">
        <v>-11030</v>
      </c>
      <c r="C4" s="7">
        <v>-8204</v>
      </c>
      <c r="E4" s="46">
        <f>C4/B4-1</f>
        <v>-0.25621033544877603</v>
      </c>
      <c r="H4" s="7" t="s">
        <v>114</v>
      </c>
      <c r="I4" s="7">
        <f>'Income statement'!I18</f>
        <v>9375</v>
      </c>
      <c r="J4" s="7">
        <f>'Income statement'!J18</f>
        <v>9087</v>
      </c>
      <c r="L4" s="46">
        <f>J4/I4-1</f>
        <v>-3.071999999999997E-2</v>
      </c>
    </row>
    <row r="5" spans="1:12" ht="26" customHeight="1" x14ac:dyDescent="0.2">
      <c r="A5" s="7" t="s">
        <v>10</v>
      </c>
      <c r="B5" s="7">
        <v>19247</v>
      </c>
      <c r="C5" s="7">
        <v>19106</v>
      </c>
      <c r="D5" s="7"/>
      <c r="E5" s="46">
        <f t="shared" ref="E5:E26" si="0">C5/B5-1</f>
        <v>-7.3258170104432141E-3</v>
      </c>
      <c r="H5" s="1" t="s">
        <v>110</v>
      </c>
      <c r="I5" s="1">
        <f>-'Income statement'!I12</f>
        <v>9538</v>
      </c>
      <c r="J5" s="1">
        <f>-'Income statement'!J12</f>
        <v>10018</v>
      </c>
      <c r="K5" s="7"/>
      <c r="L5" s="45"/>
    </row>
    <row r="6" spans="1:12" ht="17" customHeight="1" x14ac:dyDescent="0.2">
      <c r="A6" s="1" t="s">
        <v>72</v>
      </c>
      <c r="B6" s="1">
        <v>2320</v>
      </c>
      <c r="C6" s="1">
        <v>-2112</v>
      </c>
      <c r="E6" s="45"/>
      <c r="H6" s="1" t="s">
        <v>118</v>
      </c>
      <c r="I6" s="1">
        <f>-('Balance sheet'!I6-19841)</f>
        <v>2320</v>
      </c>
      <c r="J6" s="1">
        <f>-('Balance sheet'!J6-'Balance sheet'!I6)</f>
        <v>-2113</v>
      </c>
      <c r="L6" s="45"/>
    </row>
    <row r="7" spans="1:12" ht="20" customHeight="1" x14ac:dyDescent="0.2">
      <c r="A7" s="1" t="s">
        <v>73</v>
      </c>
      <c r="B7" s="1">
        <v>-15550</v>
      </c>
      <c r="C7" s="1">
        <v>686</v>
      </c>
      <c r="E7" s="45"/>
      <c r="H7" s="1" t="s">
        <v>119</v>
      </c>
      <c r="I7" s="1">
        <f>-('Balance sheet'!I5-73885)</f>
        <v>-15549</v>
      </c>
      <c r="J7" s="1">
        <f>-('Balance sheet'!J5-'Balance sheet'!I5)</f>
        <v>686</v>
      </c>
      <c r="L7" s="45"/>
    </row>
    <row r="8" spans="1:12" x14ac:dyDescent="0.2">
      <c r="A8" s="1" t="s">
        <v>81</v>
      </c>
      <c r="B8" s="1">
        <v>21892</v>
      </c>
      <c r="C8" s="1">
        <v>-7483</v>
      </c>
      <c r="E8" s="45"/>
      <c r="H8" s="47" t="s">
        <v>120</v>
      </c>
      <c r="I8" s="47">
        <f>SUM('Balance sheet'!I12:I13)-26937-69799</f>
        <v>13187</v>
      </c>
      <c r="J8" s="47">
        <f>SUM('Balance sheet'!J12:J13)-SUM('Balance sheet'!I12:I13)</f>
        <v>-2025</v>
      </c>
      <c r="L8" s="45"/>
    </row>
    <row r="9" spans="1:12" x14ac:dyDescent="0.2">
      <c r="A9" s="47" t="s">
        <v>74</v>
      </c>
      <c r="B9" s="47">
        <v>8662</v>
      </c>
      <c r="C9" s="47">
        <v>-8910</v>
      </c>
      <c r="E9" s="45"/>
      <c r="H9" s="49" t="s">
        <v>132</v>
      </c>
      <c r="I9" s="49">
        <f>'Balance sheet'!I14-6898-15856-6416-'Income statement'!B16</f>
        <v>9038</v>
      </c>
      <c r="J9" s="49">
        <f>'Balance sheet'!J14-'Balance sheet'!I14-9040</f>
        <v>-5457</v>
      </c>
      <c r="L9" s="45"/>
    </row>
    <row r="10" spans="1:12" ht="20" customHeight="1" x14ac:dyDescent="0.2">
      <c r="A10" s="47"/>
      <c r="B10" s="47"/>
      <c r="C10" s="47"/>
      <c r="E10" s="45"/>
      <c r="H10" s="48" t="s">
        <v>121</v>
      </c>
      <c r="I10" s="48">
        <f>SUM(I4:I9)</f>
        <v>27909</v>
      </c>
      <c r="J10" s="48">
        <f>SUM(J4:J9)</f>
        <v>10196</v>
      </c>
      <c r="L10" s="46">
        <f t="shared" ref="L10:L19" si="1">J10/I10-1</f>
        <v>-0.63466981977139991</v>
      </c>
    </row>
    <row r="11" spans="1:12" x14ac:dyDescent="0.2">
      <c r="A11" s="48" t="s">
        <v>11</v>
      </c>
      <c r="B11" s="48">
        <f>B5+B9</f>
        <v>27909</v>
      </c>
      <c r="C11" s="48">
        <f>C5+C9</f>
        <v>10196</v>
      </c>
      <c r="E11" s="46">
        <f t="shared" si="0"/>
        <v>-0.63466981977139991</v>
      </c>
      <c r="H11" s="49" t="s">
        <v>122</v>
      </c>
      <c r="I11" s="49">
        <f>SUM(B12:B16)</f>
        <v>-11898</v>
      </c>
      <c r="J11" s="49">
        <f>SUM(C12:C16)</f>
        <v>-10125</v>
      </c>
      <c r="L11" s="45"/>
    </row>
    <row r="12" spans="1:12" x14ac:dyDescent="0.2">
      <c r="A12" s="47" t="s">
        <v>12</v>
      </c>
      <c r="B12" s="47">
        <v>-30</v>
      </c>
      <c r="C12" s="47">
        <v>-13</v>
      </c>
      <c r="E12" s="45"/>
      <c r="H12" s="48" t="s">
        <v>123</v>
      </c>
      <c r="I12" s="48">
        <f>I11</f>
        <v>-11898</v>
      </c>
      <c r="J12" s="48">
        <f t="shared" ref="J12" si="2">J11</f>
        <v>-10125</v>
      </c>
      <c r="L12" s="46">
        <f t="shared" si="1"/>
        <v>-0.14901664145234494</v>
      </c>
    </row>
    <row r="13" spans="1:12" x14ac:dyDescent="0.2">
      <c r="A13" s="47" t="s">
        <v>13</v>
      </c>
      <c r="B13" s="47">
        <v>-14183</v>
      </c>
      <c r="C13" s="47">
        <v>-10379</v>
      </c>
      <c r="E13" s="45"/>
      <c r="H13" s="47"/>
      <c r="I13" s="47"/>
      <c r="J13" s="47"/>
      <c r="L13" s="45"/>
    </row>
    <row r="14" spans="1:12" x14ac:dyDescent="0.2">
      <c r="A14" s="47" t="s">
        <v>14</v>
      </c>
      <c r="B14" s="47">
        <v>-385</v>
      </c>
      <c r="C14" s="47">
        <v>-393</v>
      </c>
      <c r="E14" s="45"/>
      <c r="H14" s="57" t="s">
        <v>137</v>
      </c>
      <c r="I14" s="47">
        <f>SUM(B20)</f>
        <v>629</v>
      </c>
      <c r="J14" s="47">
        <f>SUM(C20)</f>
        <v>207</v>
      </c>
      <c r="L14" s="45"/>
    </row>
    <row r="15" spans="1:12" x14ac:dyDescent="0.2">
      <c r="A15" s="47" t="s">
        <v>15</v>
      </c>
      <c r="B15" s="47">
        <v>-72</v>
      </c>
      <c r="C15" s="47">
        <v>0</v>
      </c>
      <c r="E15" s="45"/>
      <c r="H15" s="57" t="s">
        <v>138</v>
      </c>
      <c r="I15" s="47">
        <f>B19</f>
        <v>-13959</v>
      </c>
      <c r="J15" s="47">
        <f>C19</f>
        <v>-14000</v>
      </c>
      <c r="L15" s="45"/>
    </row>
    <row r="16" spans="1:12" ht="19" customHeight="1" x14ac:dyDescent="0.2">
      <c r="A16" s="47" t="s">
        <v>16</v>
      </c>
      <c r="B16" s="47">
        <v>2772</v>
      </c>
      <c r="C16" s="47">
        <v>660</v>
      </c>
      <c r="E16" s="45"/>
      <c r="H16" s="60" t="s">
        <v>124</v>
      </c>
      <c r="I16" s="60">
        <f>SUM(I14:I15)</f>
        <v>-13330</v>
      </c>
      <c r="J16" s="60">
        <f t="shared" ref="J16" si="3">SUM(J14:J15)</f>
        <v>-13793</v>
      </c>
      <c r="L16" s="46">
        <f t="shared" si="1"/>
        <v>3.4733683420855144E-2</v>
      </c>
    </row>
    <row r="17" spans="1:12" ht="24" customHeight="1" thickBot="1" x14ac:dyDescent="0.25">
      <c r="A17" s="48" t="s">
        <v>17</v>
      </c>
      <c r="B17" s="48">
        <f>SUM(B12:B16)</f>
        <v>-11898</v>
      </c>
      <c r="C17" s="48">
        <f>SUM(C12:C16)</f>
        <v>-10125</v>
      </c>
      <c r="E17" s="46">
        <f t="shared" si="0"/>
        <v>-0.14901664145234494</v>
      </c>
      <c r="H17" s="5" t="s">
        <v>127</v>
      </c>
      <c r="I17" s="5">
        <f>I10+I12+I16</f>
        <v>2681</v>
      </c>
      <c r="J17" s="5">
        <f>J10+J12+J16</f>
        <v>-13722</v>
      </c>
      <c r="L17" s="52">
        <f t="shared" si="1"/>
        <v>-6.1182394628869821</v>
      </c>
    </row>
    <row r="18" spans="1:12" x14ac:dyDescent="0.2">
      <c r="A18" s="47" t="s">
        <v>18</v>
      </c>
      <c r="B18" s="47">
        <v>-13959</v>
      </c>
      <c r="C18" s="47">
        <v>-14000</v>
      </c>
      <c r="E18" s="45"/>
      <c r="H18" s="48" t="s">
        <v>126</v>
      </c>
      <c r="I18" s="47">
        <f>B4</f>
        <v>-11030</v>
      </c>
      <c r="J18" s="47">
        <f>C4</f>
        <v>-8204</v>
      </c>
      <c r="K18" s="7"/>
      <c r="L18" s="46"/>
    </row>
    <row r="19" spans="1:12" x14ac:dyDescent="0.2">
      <c r="A19" s="47" t="s">
        <v>19</v>
      </c>
      <c r="B19" s="47">
        <v>-13959</v>
      </c>
      <c r="C19" s="47">
        <v>-14000</v>
      </c>
      <c r="E19" s="45"/>
      <c r="H19" s="50" t="s">
        <v>125</v>
      </c>
      <c r="I19" s="6">
        <f>B25</f>
        <v>2681</v>
      </c>
      <c r="J19" s="6">
        <f>C25</f>
        <v>-13722</v>
      </c>
      <c r="K19" s="7"/>
      <c r="L19" s="46"/>
    </row>
    <row r="20" spans="1:12" ht="17" thickBot="1" x14ac:dyDescent="0.25">
      <c r="A20" s="47" t="s">
        <v>75</v>
      </c>
      <c r="B20" s="47">
        <v>629</v>
      </c>
      <c r="C20" s="47">
        <v>207</v>
      </c>
      <c r="E20" s="45"/>
      <c r="H20" s="51" t="s">
        <v>128</v>
      </c>
      <c r="I20" s="51">
        <f>SUM(I18:I19)</f>
        <v>-8349</v>
      </c>
      <c r="J20" s="51">
        <f>SUM(J18:J19)</f>
        <v>-21926</v>
      </c>
      <c r="L20" s="45"/>
    </row>
    <row r="21" spans="1:12" x14ac:dyDescent="0.2">
      <c r="A21" s="47" t="s">
        <v>20</v>
      </c>
      <c r="B21" s="47">
        <v>0</v>
      </c>
      <c r="C21" s="47">
        <v>0</v>
      </c>
      <c r="E21" s="45"/>
      <c r="H21" s="47"/>
      <c r="I21" s="47"/>
      <c r="J21" s="47"/>
      <c r="L21" s="45"/>
    </row>
    <row r="22" spans="1:12" x14ac:dyDescent="0.2">
      <c r="A22" s="47" t="s">
        <v>21</v>
      </c>
      <c r="B22" s="47">
        <v>629</v>
      </c>
      <c r="C22" s="47">
        <v>207</v>
      </c>
      <c r="E22" s="45"/>
      <c r="H22" s="47"/>
      <c r="I22" s="47"/>
      <c r="J22" s="47"/>
      <c r="L22" s="45"/>
    </row>
    <row r="23" spans="1:12" ht="22" customHeight="1" x14ac:dyDescent="0.2">
      <c r="A23" s="7" t="s">
        <v>22</v>
      </c>
      <c r="B23" s="7">
        <f>SUM(B19:B20)</f>
        <v>-13330</v>
      </c>
      <c r="C23" s="7">
        <f>SUM(C19:C20)</f>
        <v>-13793</v>
      </c>
      <c r="E23" s="46">
        <f t="shared" si="0"/>
        <v>3.4733683420855144E-2</v>
      </c>
      <c r="H23" s="7"/>
      <c r="I23" s="7"/>
      <c r="J23" s="7"/>
      <c r="L23" s="45"/>
    </row>
    <row r="24" spans="1:12" ht="16" customHeight="1" x14ac:dyDescent="0.2">
      <c r="A24" s="7"/>
      <c r="B24" s="7"/>
      <c r="C24" s="7"/>
      <c r="E24" s="45"/>
      <c r="H24" s="48"/>
      <c r="I24" s="48"/>
      <c r="J24" s="48"/>
      <c r="L24" s="45"/>
    </row>
    <row r="25" spans="1:12" ht="14" customHeight="1" x14ac:dyDescent="0.2">
      <c r="A25" s="61" t="s">
        <v>76</v>
      </c>
      <c r="B25" s="61">
        <f>B11+B17+B23</f>
        <v>2681</v>
      </c>
      <c r="C25" s="61">
        <f>C11+C17+C23</f>
        <v>-13722</v>
      </c>
      <c r="D25" s="62"/>
      <c r="E25" s="52">
        <f t="shared" si="0"/>
        <v>-6.1182394628869821</v>
      </c>
      <c r="H25" s="53"/>
      <c r="I25" s="53"/>
      <c r="J25" s="53"/>
      <c r="K25" s="47"/>
      <c r="L25" s="45"/>
    </row>
    <row r="26" spans="1:12" ht="17" thickBot="1" x14ac:dyDescent="0.25">
      <c r="A26" s="5" t="s">
        <v>83</v>
      </c>
      <c r="B26" s="5">
        <f>B4+B25</f>
        <v>-8349</v>
      </c>
      <c r="C26" s="5">
        <f>C4+C25</f>
        <v>-21926</v>
      </c>
      <c r="E26" s="52"/>
      <c r="K26" s="47"/>
      <c r="L26" s="45"/>
    </row>
    <row r="27" spans="1:12" x14ac:dyDescent="0.2">
      <c r="E27" s="45"/>
      <c r="L27" s="45"/>
    </row>
    <row r="28" spans="1:12" x14ac:dyDescent="0.2">
      <c r="A28" s="54" t="s">
        <v>55</v>
      </c>
      <c r="B28" s="55"/>
      <c r="C28" s="55"/>
      <c r="D28" s="55"/>
      <c r="E28" s="56"/>
      <c r="H28" s="54" t="s">
        <v>55</v>
      </c>
      <c r="I28" s="56"/>
      <c r="J28" s="56"/>
      <c r="K28" s="56"/>
      <c r="L28" s="56"/>
    </row>
    <row r="29" spans="1:12" x14ac:dyDescent="0.2">
      <c r="A29" s="55" t="s">
        <v>77</v>
      </c>
      <c r="B29" s="56">
        <f>B11/SUM('Balance sheet'!B23:B24)</f>
        <v>0.18951936005215195</v>
      </c>
      <c r="C29" s="56">
        <f>C11/SUM('Balance sheet'!C23:C24)</f>
        <v>6.8512296734309905E-2</v>
      </c>
      <c r="D29" s="55"/>
      <c r="E29" s="56">
        <f t="shared" ref="E29:E32" si="4">C29/B29-1</f>
        <v>-0.63849446982378644</v>
      </c>
      <c r="H29" s="55" t="s">
        <v>141</v>
      </c>
      <c r="I29" s="56">
        <f>I10/'Balance sheet'!I15</f>
        <v>0.18951936005215195</v>
      </c>
      <c r="J29" s="56">
        <f>J10/'Balance sheet'!J15</f>
        <v>6.8512296734309905E-2</v>
      </c>
      <c r="K29" s="56"/>
      <c r="L29" s="56">
        <f>J29/I29-1</f>
        <v>-0.63849446982378644</v>
      </c>
    </row>
    <row r="30" spans="1:12" x14ac:dyDescent="0.2">
      <c r="A30" s="55" t="s">
        <v>78</v>
      </c>
      <c r="B30" s="56">
        <f>B11/SUM('Balance sheet'!B24,'Balance sheet'!B21:B22,'Balance sheet'!B17)</f>
        <v>0.24198205228248146</v>
      </c>
      <c r="C30" s="56">
        <f>C11/SUM('Balance sheet'!C24,'Balance sheet'!C21:C22,'Balance sheet'!C17)</f>
        <v>8.9804905976130708E-2</v>
      </c>
      <c r="D30" s="55"/>
      <c r="E30" s="56">
        <f t="shared" si="4"/>
        <v>-0.62887782325568686</v>
      </c>
      <c r="H30" s="55" t="s">
        <v>142</v>
      </c>
      <c r="I30" s="56">
        <f>I10/SUM('Balance sheet'!I16,'Balance sheet'!I14,'Balance sheet'!I12)</f>
        <v>0.24198205228248146</v>
      </c>
      <c r="J30" s="56">
        <f>J10/SUM('Balance sheet'!J16,'Balance sheet'!J14,'Balance sheet'!J12)</f>
        <v>8.9804905976130708E-2</v>
      </c>
      <c r="K30" s="56"/>
      <c r="L30" s="56">
        <f>J30/I30-1</f>
        <v>-0.62887782325568686</v>
      </c>
    </row>
    <row r="31" spans="1:12" x14ac:dyDescent="0.2">
      <c r="A31" s="55" t="s">
        <v>79</v>
      </c>
      <c r="B31" s="56">
        <f>B11/'Income statement'!B6</f>
        <v>4.4233439205766563E-2</v>
      </c>
      <c r="C31" s="56">
        <f>C11/'Income statement'!C6</f>
        <v>1.705401721124334E-2</v>
      </c>
      <c r="D31" s="55"/>
      <c r="E31" s="56">
        <f t="shared" si="4"/>
        <v>-0.61445418856284495</v>
      </c>
      <c r="H31" s="55" t="s">
        <v>143</v>
      </c>
      <c r="I31" s="56">
        <f>I10/'Income statement'!I6</f>
        <v>4.4233439205766563E-2</v>
      </c>
      <c r="J31" s="56">
        <f>J10/'Income statement'!J6</f>
        <v>1.705401721124334E-2</v>
      </c>
      <c r="K31" s="56"/>
      <c r="L31" s="56">
        <f>J31/I31-1</f>
        <v>-0.61445418856284495</v>
      </c>
    </row>
    <row r="32" spans="1:12" x14ac:dyDescent="0.2">
      <c r="A32" s="55" t="s">
        <v>80</v>
      </c>
      <c r="B32" s="56">
        <f>B11/'Income statement'!B18</f>
        <v>2.9769600000000001</v>
      </c>
      <c r="C32" s="56">
        <f>C11/'Income statement'!C18</f>
        <v>1.1220424782656542</v>
      </c>
      <c r="D32" s="55"/>
      <c r="E32" s="56">
        <f t="shared" si="4"/>
        <v>-0.62309118084702042</v>
      </c>
      <c r="H32" s="55" t="s">
        <v>80</v>
      </c>
      <c r="I32" s="56">
        <f>I10/'Income statement'!I18</f>
        <v>2.9769600000000001</v>
      </c>
      <c r="J32" s="56">
        <f>J10/'Income statement'!J18</f>
        <v>1.1220424782656542</v>
      </c>
      <c r="K32" s="56"/>
      <c r="L32" s="56">
        <f>J32/I32-1</f>
        <v>-0.62309118084702042</v>
      </c>
    </row>
  </sheetData>
  <conditionalFormatting sqref="E29:E32">
    <cfRule type="iconSet" priority="3">
      <iconSet>
        <cfvo type="percent" val="0"/>
        <cfvo type="num" val="0"/>
        <cfvo type="num" val="0.1"/>
      </iconSet>
    </cfRule>
  </conditionalFormatting>
  <conditionalFormatting sqref="L29:L32">
    <cfRule type="iconSet" priority="1">
      <iconSet>
        <cfvo type="percent" val="0"/>
        <cfvo type="num" val="0"/>
        <cfvo type="num" val="0.1"/>
      </iconSet>
    </cfRule>
  </conditionalFormatting>
  <conditionalFormatting sqref="L4:L32">
    <cfRule type="iconSet" priority="11">
      <iconSet>
        <cfvo type="percent" val="0"/>
        <cfvo type="num" val="0"/>
        <cfvo type="num" val="0.1"/>
      </iconSet>
    </cfRule>
  </conditionalFormatting>
  <conditionalFormatting sqref="E4:E26">
    <cfRule type="iconSet" priority="37">
      <iconSet>
        <cfvo type="percent" val="0"/>
        <cfvo type="num" val="0"/>
        <cfvo type="num" val="0.1"/>
      </iconSet>
    </cfRule>
  </conditionalFormatting>
  <pageMargins left="0.7" right="0.7" top="0.75" bottom="0.75" header="0.3" footer="0.3"/>
  <pageSetup paperSize="9" orientation="portrait" horizontalDpi="0" verticalDpi="0"/>
  <ignoredErrors>
    <ignoredError sqref="B23:C23 B30:C30" formulaRange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Balance sheet</vt:lpstr>
      <vt:lpstr>Income statement</vt:lpstr>
      <vt:lpstr>Cash Flow statement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Cyriaque Tiapani</dc:creator>
  <cp:lastModifiedBy>Jean Cyriaque Tiapani</cp:lastModifiedBy>
  <dcterms:created xsi:type="dcterms:W3CDTF">2026-05-20T20:15:47Z</dcterms:created>
  <dcterms:modified xsi:type="dcterms:W3CDTF">2026-05-23T11:07:27Z</dcterms:modified>
</cp:coreProperties>
</file>